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wc-file02.innerwest.nsw.gov.au\iwcfs$\Common\Communications Engagement and Events\Engagement\CE projects\Operational Plan\Ops Plan and Budget 2021-22\"/>
    </mc:Choice>
  </mc:AlternateContent>
  <xr:revisionPtr revIDLastSave="0" documentId="8_{BC41BDF4-9EEE-4829-BF84-05E2DBCF636E}" xr6:coauthVersionLast="45" xr6:coauthVersionMax="45" xr10:uidLastSave="{00000000-0000-0000-0000-000000000000}"/>
  <bookViews>
    <workbookView xWindow="4470" yWindow="-15360" windowWidth="18900" windowHeight="10920" xr2:uid="{6A36A1BB-9079-4348-B829-E0747DF6F7CE}"/>
  </bookViews>
  <sheets>
    <sheet name="Scenarios 1 - 3" sheetId="1" r:id="rId1"/>
    <sheet name="Scenarios 4 - 5" sheetId="2" r:id="rId2"/>
  </sheets>
  <definedNames>
    <definedName name="_xlnm.Print_Area" localSheetId="0">'Scenarios 1 - 3'!$C$5:$Q$42</definedName>
    <definedName name="_xlnm.Print_Area" localSheetId="1">'Scenarios 4 - 5'!$C$5:$Q$42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27" i="2" s="1"/>
  <c r="G25" i="2"/>
  <c r="Q51" i="2"/>
  <c r="O51" i="2"/>
  <c r="L51" i="2"/>
  <c r="J51" i="2"/>
  <c r="I51" i="2"/>
  <c r="G51" i="2"/>
  <c r="E51" i="2"/>
  <c r="D51" i="2"/>
  <c r="O50" i="2"/>
  <c r="J50" i="2"/>
  <c r="I50" i="2"/>
  <c r="G50" i="2"/>
  <c r="E50" i="2"/>
  <c r="D50" i="2"/>
  <c r="Q49" i="2"/>
  <c r="O49" i="2"/>
  <c r="L49" i="2"/>
  <c r="J49" i="2"/>
  <c r="I49" i="2"/>
  <c r="G49" i="2"/>
  <c r="E49" i="2"/>
  <c r="D49" i="2"/>
  <c r="Q48" i="2"/>
  <c r="L48" i="2"/>
  <c r="G48" i="2"/>
  <c r="Q47" i="2"/>
  <c r="L47" i="2"/>
  <c r="G47" i="2"/>
  <c r="Q40" i="2"/>
  <c r="L40" i="2"/>
  <c r="G40" i="2"/>
  <c r="C40" i="2"/>
  <c r="O32" i="2"/>
  <c r="N32" i="2"/>
  <c r="J32" i="2"/>
  <c r="I32" i="2"/>
  <c r="E32" i="2"/>
  <c r="D32" i="2"/>
  <c r="D40" i="2" s="1"/>
  <c r="O30" i="2"/>
  <c r="N30" i="2"/>
  <c r="J30" i="2"/>
  <c r="I30" i="2"/>
  <c r="I47" i="2" s="1"/>
  <c r="E30" i="2"/>
  <c r="E40" i="2" s="1"/>
  <c r="D30" i="2"/>
  <c r="N27" i="2"/>
  <c r="J27" i="2"/>
  <c r="C27" i="2"/>
  <c r="O23" i="2"/>
  <c r="N23" i="2"/>
  <c r="J23" i="2"/>
  <c r="I23" i="2"/>
  <c r="I27" i="2" s="1"/>
  <c r="E23" i="2"/>
  <c r="D23" i="2"/>
  <c r="O20" i="2"/>
  <c r="N20" i="2"/>
  <c r="J20" i="2"/>
  <c r="I20" i="2"/>
  <c r="E20" i="2"/>
  <c r="D20" i="2"/>
  <c r="N17" i="2"/>
  <c r="G17" i="2"/>
  <c r="C17" i="2"/>
  <c r="Q50" i="2"/>
  <c r="L50" i="2"/>
  <c r="O13" i="2"/>
  <c r="O48" i="2" s="1"/>
  <c r="N13" i="2"/>
  <c r="J13" i="2"/>
  <c r="J48" i="2" s="1"/>
  <c r="I13" i="2"/>
  <c r="I48" i="2" s="1"/>
  <c r="E13" i="2"/>
  <c r="E48" i="2" s="1"/>
  <c r="D13" i="2"/>
  <c r="D17" i="2" s="1"/>
  <c r="O11" i="2"/>
  <c r="O47" i="2" s="1"/>
  <c r="N11" i="2"/>
  <c r="J11" i="2"/>
  <c r="J47" i="2" s="1"/>
  <c r="I11" i="2"/>
  <c r="E11" i="2"/>
  <c r="E47" i="2" s="1"/>
  <c r="D11" i="2"/>
  <c r="D47" i="2" s="1"/>
  <c r="J40" i="2" l="1"/>
  <c r="I17" i="2"/>
  <c r="N40" i="2"/>
  <c r="N42" i="2"/>
  <c r="O40" i="2"/>
  <c r="O27" i="2"/>
  <c r="Q27" i="2"/>
  <c r="J53" i="2"/>
  <c r="L27" i="2"/>
  <c r="G53" i="2"/>
  <c r="E27" i="2"/>
  <c r="D42" i="2"/>
  <c r="D43" i="2" s="1"/>
  <c r="D27" i="2"/>
  <c r="G42" i="2"/>
  <c r="G43" i="2" s="1"/>
  <c r="O53" i="2"/>
  <c r="I53" i="2"/>
  <c r="L53" i="2"/>
  <c r="Q53" i="2"/>
  <c r="E53" i="2"/>
  <c r="E17" i="2"/>
  <c r="D48" i="2"/>
  <c r="D53" i="2" s="1"/>
  <c r="J17" i="2"/>
  <c r="J42" i="2" s="1"/>
  <c r="J43" i="2" s="1"/>
  <c r="I40" i="2"/>
  <c r="Q17" i="2"/>
  <c r="L17" i="2"/>
  <c r="L42" i="2" s="1"/>
  <c r="L43" i="2" s="1"/>
  <c r="O17" i="2"/>
  <c r="Q40" i="1"/>
  <c r="D11" i="1"/>
  <c r="E11" i="1"/>
  <c r="I11" i="1"/>
  <c r="J11" i="1"/>
  <c r="N11" i="1"/>
  <c r="O11" i="1"/>
  <c r="D13" i="1"/>
  <c r="E13" i="1"/>
  <c r="I13" i="1"/>
  <c r="J13" i="1"/>
  <c r="N13" i="1"/>
  <c r="O13" i="1"/>
  <c r="L15" i="1"/>
  <c r="L17" i="1" s="1"/>
  <c r="Q15" i="1"/>
  <c r="Q17" i="1" s="1"/>
  <c r="C17" i="1"/>
  <c r="G17" i="1"/>
  <c r="D20" i="1"/>
  <c r="E20" i="1"/>
  <c r="I20" i="1"/>
  <c r="J20" i="1"/>
  <c r="N20" i="1"/>
  <c r="O20" i="1"/>
  <c r="O27" i="1" s="1"/>
  <c r="D23" i="1"/>
  <c r="D48" i="1" s="1"/>
  <c r="E23" i="1"/>
  <c r="I23" i="1"/>
  <c r="J23" i="1"/>
  <c r="N23" i="1"/>
  <c r="O23" i="1"/>
  <c r="L25" i="1"/>
  <c r="Q25" i="1"/>
  <c r="Q27" i="1" s="1"/>
  <c r="L26" i="1"/>
  <c r="Q26" i="1"/>
  <c r="C27" i="1"/>
  <c r="G27" i="1"/>
  <c r="D30" i="1"/>
  <c r="E30" i="1"/>
  <c r="I30" i="1"/>
  <c r="J30" i="1"/>
  <c r="J47" i="1" s="1"/>
  <c r="N30" i="1"/>
  <c r="O30" i="1"/>
  <c r="D32" i="1"/>
  <c r="E32" i="1"/>
  <c r="I32" i="1"/>
  <c r="J32" i="1"/>
  <c r="N32" i="1"/>
  <c r="O32" i="1"/>
  <c r="L38" i="1"/>
  <c r="L40" i="1" s="1"/>
  <c r="C40" i="1"/>
  <c r="G40" i="1"/>
  <c r="G47" i="1"/>
  <c r="L47" i="1"/>
  <c r="Q47" i="1"/>
  <c r="G48" i="1"/>
  <c r="L48" i="1"/>
  <c r="Q48" i="1"/>
  <c r="D49" i="1"/>
  <c r="E49" i="1"/>
  <c r="G49" i="1"/>
  <c r="I49" i="1"/>
  <c r="J49" i="1"/>
  <c r="L49" i="1"/>
  <c r="O49" i="1"/>
  <c r="Q49" i="1"/>
  <c r="D50" i="1"/>
  <c r="E50" i="1"/>
  <c r="G50" i="1"/>
  <c r="I50" i="1"/>
  <c r="J50" i="1"/>
  <c r="O50" i="1"/>
  <c r="D51" i="1"/>
  <c r="E51" i="1"/>
  <c r="G51" i="1"/>
  <c r="I51" i="1"/>
  <c r="J51" i="1"/>
  <c r="L51" i="1"/>
  <c r="O51" i="1"/>
  <c r="Q51" i="1"/>
  <c r="O42" i="2" l="1"/>
  <c r="O43" i="2" s="1"/>
  <c r="I42" i="2"/>
  <c r="Q42" i="2"/>
  <c r="Q43" i="2" s="1"/>
  <c r="E42" i="2"/>
  <c r="E43" i="2" s="1"/>
  <c r="N17" i="1"/>
  <c r="J17" i="1"/>
  <c r="L27" i="1"/>
  <c r="O47" i="1"/>
  <c r="G53" i="1"/>
  <c r="E40" i="1"/>
  <c r="N27" i="1"/>
  <c r="O40" i="1"/>
  <c r="Q50" i="1"/>
  <c r="Q53" i="1" s="1"/>
  <c r="O48" i="1"/>
  <c r="I40" i="1"/>
  <c r="D40" i="1"/>
  <c r="G42" i="1"/>
  <c r="G43" i="1" s="1"/>
  <c r="J27" i="1"/>
  <c r="I47" i="1"/>
  <c r="L50" i="1"/>
  <c r="L53" i="1" s="1"/>
  <c r="E47" i="1"/>
  <c r="N40" i="1"/>
  <c r="N42" i="1" s="1"/>
  <c r="Q42" i="1"/>
  <c r="Q43" i="1" s="1"/>
  <c r="E17" i="1"/>
  <c r="J48" i="1"/>
  <c r="J53" i="1" s="1"/>
  <c r="I27" i="1"/>
  <c r="J40" i="1"/>
  <c r="E27" i="1"/>
  <c r="O17" i="1"/>
  <c r="O42" i="1" s="1"/>
  <c r="O43" i="1" s="1"/>
  <c r="E48" i="1"/>
  <c r="L42" i="1"/>
  <c r="L43" i="1" s="1"/>
  <c r="D27" i="1"/>
  <c r="D47" i="1"/>
  <c r="D53" i="1" s="1"/>
  <c r="I17" i="1"/>
  <c r="D17" i="1"/>
  <c r="I48" i="1"/>
  <c r="I53" i="1" l="1"/>
  <c r="O53" i="1"/>
  <c r="I42" i="1"/>
  <c r="J42" i="1"/>
  <c r="J43" i="1" s="1"/>
  <c r="E53" i="1"/>
  <c r="D42" i="1"/>
  <c r="E42" i="1"/>
  <c r="E43" i="1" s="1"/>
</calcChain>
</file>

<file path=xl/sharedStrings.xml><?xml version="1.0" encoding="utf-8"?>
<sst xmlns="http://schemas.openxmlformats.org/spreadsheetml/2006/main" count="240" uniqueCount="53">
  <si>
    <t>Airport</t>
  </si>
  <si>
    <t>Malls</t>
  </si>
  <si>
    <t>Bus-Ind</t>
  </si>
  <si>
    <t>Gen Bus</t>
  </si>
  <si>
    <t>Res</t>
  </si>
  <si>
    <t>CHECKS</t>
  </si>
  <si>
    <t>Business - Airport</t>
  </si>
  <si>
    <t>Business - Marrickville Metro</t>
  </si>
  <si>
    <t>Business Ind - Camperdown ad valorem</t>
  </si>
  <si>
    <t>Business Ind - St Peters Nth ad valorem</t>
  </si>
  <si>
    <t>Business Ind - St Peters  ad valorem</t>
  </si>
  <si>
    <t>Business Ind - Marrickville ad valorem</t>
  </si>
  <si>
    <t>Business General - Minimum</t>
  </si>
  <si>
    <t>Business General</t>
  </si>
  <si>
    <t>Residential - Minimum</t>
  </si>
  <si>
    <t>Residential - ad valorem</t>
  </si>
  <si>
    <t>Yield ($)</t>
  </si>
  <si>
    <t>Rates in the dollar ($)</t>
  </si>
  <si>
    <t>Land values ($)</t>
  </si>
  <si>
    <t>No. Properties</t>
  </si>
  <si>
    <t>Marrickville</t>
  </si>
  <si>
    <t>Norton Plaza - Mall</t>
  </si>
  <si>
    <t>Leichhardt Marketplace - Mall</t>
  </si>
  <si>
    <t>Business - Minimum</t>
  </si>
  <si>
    <t>Business - ad valorem</t>
  </si>
  <si>
    <t>NA</t>
  </si>
  <si>
    <t>Residential - ad valorem only</t>
  </si>
  <si>
    <t>Leichhardt</t>
  </si>
  <si>
    <t>Ashfield Mall</t>
  </si>
  <si>
    <t>Business Minimum</t>
  </si>
  <si>
    <t>Ashfield</t>
  </si>
  <si>
    <t>12.5% Harmonised 1/7/21</t>
  </si>
  <si>
    <t>25% Harmonised 1/7/21</t>
  </si>
  <si>
    <t>100% Harmonised 1/7/21</t>
  </si>
  <si>
    <t>Rates Income</t>
  </si>
  <si>
    <t>Harmonise within 8 years</t>
  </si>
  <si>
    <t>Harmonise within 4 years</t>
  </si>
  <si>
    <t>Immediate harmonisation option</t>
  </si>
  <si>
    <t>Draft</t>
  </si>
  <si>
    <t>Residential</t>
  </si>
  <si>
    <t>Business general</t>
  </si>
  <si>
    <t>Business industrial</t>
  </si>
  <si>
    <t>Shopping malls</t>
  </si>
  <si>
    <t>Grand Total - Inner West Council</t>
  </si>
  <si>
    <t>Scenario 4</t>
  </si>
  <si>
    <t>Scenario 5</t>
  </si>
  <si>
    <t>Scenario 6</t>
  </si>
  <si>
    <t>Scenario 1</t>
  </si>
  <si>
    <t>Scenario 2</t>
  </si>
  <si>
    <t>Scenario 3</t>
  </si>
  <si>
    <t>SCENARIOS 4 - 6:  MALLS RATES $1.57M  (existing $0.97M + additional $0.6M from Business General)</t>
  </si>
  <si>
    <t>Category / Subcategory</t>
  </si>
  <si>
    <t>SCENARIOS 1 - 3:  MALLS RATES $1.0M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</si>
</sst>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6"/>
      <color theme="0" tint="-0.499984740745262"/>
      <name val="Arial"/>
      <family val="2"/>
    </font>
    <font>
      <b/>
      <sz val="6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Calibri Light"/>
      <family val="2"/>
      <scheme val="major"/>
    </font>
    <font>
      <b/>
      <sz val="8"/>
      <color indexed="8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3" fontId="2" fillId="0" borderId="0" xfId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3" fontId="2" fillId="0" borderId="0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FF0F-2127-4240-BE5B-BA271642E9F2}">
  <sheetPr>
    <tabColor theme="4" tint="0.59999389629810485"/>
    <pageSetUpPr fitToPage="1"/>
  </sheetPr>
  <dimension ref="A1:Z54"/>
  <sheetViews>
    <sheetView showGridLines="0" tabSelected="1" topLeftCell="B13" zoomScaleNormal="100" workbookViewId="0">
      <selection activeCell="D61" sqref="D61"/>
    </sheetView>
  </sheetViews>
  <sheetFormatPr defaultColWidth="8.6328125" defaultRowHeight="10" outlineLevelRow="1" outlineLevelCol="1" x14ac:dyDescent="0.35"/>
  <cols>
    <col min="1" max="1" width="6.453125" style="2" hidden="1" customWidth="1" outlineLevel="1"/>
    <col min="2" max="2" width="4.81640625" style="2" customWidth="1" collapsed="1"/>
    <col min="3" max="3" width="27.453125" style="1" customWidth="1"/>
    <col min="4" max="4" width="8" style="1" customWidth="1" outlineLevel="1"/>
    <col min="5" max="5" width="12" style="1" customWidth="1" outlineLevel="1"/>
    <col min="6" max="6" width="9.6328125" style="1" customWidth="1" outlineLevel="1"/>
    <col min="7" max="7" width="9.81640625" style="1" customWidth="1" outlineLevel="1"/>
    <col min="8" max="8" width="1.81640625" style="1" customWidth="1"/>
    <col min="9" max="9" width="8" style="1" customWidth="1" outlineLevel="1"/>
    <col min="10" max="10" width="12" style="1" customWidth="1" outlineLevel="1"/>
    <col min="11" max="11" width="9.6328125" style="1" customWidth="1" outlineLevel="1"/>
    <col min="12" max="12" width="9.81640625" style="1" customWidth="1" outlineLevel="1"/>
    <col min="13" max="13" width="1.81640625" style="1" customWidth="1"/>
    <col min="14" max="14" width="8" style="1" customWidth="1" outlineLevel="1"/>
    <col min="15" max="15" width="12" style="1" customWidth="1" outlineLevel="1"/>
    <col min="16" max="16" width="9.6328125" style="1" customWidth="1" outlineLevel="1"/>
    <col min="17" max="17" width="9.81640625" style="1" customWidth="1" outlineLevel="1"/>
    <col min="18" max="18" width="5.6328125" style="1" customWidth="1"/>
    <col min="19" max="16384" width="8.6328125" style="1"/>
  </cols>
  <sheetData>
    <row r="1" spans="1:18" ht="10.5" thickBot="1" x14ac:dyDescent="0.4"/>
    <row r="2" spans="1:18" ht="18.5" thickBot="1" x14ac:dyDescent="0.4">
      <c r="C2" s="47" t="s">
        <v>52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8" ht="10.5" x14ac:dyDescent="0.35">
      <c r="C3" s="42"/>
    </row>
    <row r="4" spans="1:18" ht="10.5" x14ac:dyDescent="0.35">
      <c r="C4" s="23"/>
      <c r="D4" s="44" t="s">
        <v>47</v>
      </c>
      <c r="E4" s="44"/>
      <c r="F4" s="44"/>
      <c r="G4" s="45"/>
      <c r="I4" s="46" t="s">
        <v>48</v>
      </c>
      <c r="J4" s="44"/>
      <c r="K4" s="44"/>
      <c r="L4" s="45"/>
      <c r="N4" s="46" t="s">
        <v>49</v>
      </c>
      <c r="O4" s="44"/>
      <c r="P4" s="44"/>
      <c r="Q4" s="45"/>
    </row>
    <row r="5" spans="1:18" ht="10.5" x14ac:dyDescent="0.35">
      <c r="C5" s="25"/>
      <c r="D5" s="55" t="s">
        <v>38</v>
      </c>
      <c r="E5" s="55"/>
      <c r="F5" s="55"/>
      <c r="G5" s="56"/>
      <c r="I5" s="57" t="s">
        <v>38</v>
      </c>
      <c r="J5" s="55"/>
      <c r="K5" s="55"/>
      <c r="L5" s="56"/>
      <c r="N5" s="57" t="s">
        <v>38</v>
      </c>
      <c r="O5" s="55"/>
      <c r="P5" s="55"/>
      <c r="Q5" s="56"/>
    </row>
    <row r="6" spans="1:18" ht="10.5" x14ac:dyDescent="0.35">
      <c r="C6" s="25" t="s">
        <v>51</v>
      </c>
      <c r="D6" s="50" t="s">
        <v>37</v>
      </c>
      <c r="E6" s="51"/>
      <c r="F6" s="51"/>
      <c r="G6" s="52"/>
      <c r="I6" s="58" t="s">
        <v>36</v>
      </c>
      <c r="J6" s="51"/>
      <c r="K6" s="51"/>
      <c r="L6" s="52"/>
      <c r="N6" s="58" t="s">
        <v>35</v>
      </c>
      <c r="O6" s="51"/>
      <c r="P6" s="51"/>
      <c r="Q6" s="52"/>
    </row>
    <row r="7" spans="1:18" ht="10.5" x14ac:dyDescent="0.35">
      <c r="C7" s="22"/>
      <c r="D7" s="50" t="s">
        <v>34</v>
      </c>
      <c r="E7" s="51"/>
      <c r="F7" s="51"/>
      <c r="G7" s="52"/>
      <c r="I7" s="58" t="s">
        <v>34</v>
      </c>
      <c r="J7" s="51"/>
      <c r="K7" s="51"/>
      <c r="L7" s="52"/>
      <c r="N7" s="58" t="s">
        <v>34</v>
      </c>
      <c r="O7" s="51"/>
      <c r="P7" s="51"/>
      <c r="Q7" s="52"/>
    </row>
    <row r="8" spans="1:18" ht="10.5" x14ac:dyDescent="0.35">
      <c r="C8" s="20"/>
      <c r="D8" s="53" t="s">
        <v>33</v>
      </c>
      <c r="E8" s="53"/>
      <c r="F8" s="53"/>
      <c r="G8" s="54"/>
      <c r="I8" s="59" t="s">
        <v>32</v>
      </c>
      <c r="J8" s="53"/>
      <c r="K8" s="53"/>
      <c r="L8" s="54"/>
      <c r="N8" s="59" t="s">
        <v>31</v>
      </c>
      <c r="O8" s="53"/>
      <c r="P8" s="53"/>
      <c r="Q8" s="54"/>
    </row>
    <row r="9" spans="1:18" ht="10.75" customHeight="1" x14ac:dyDescent="0.35">
      <c r="C9" s="43"/>
      <c r="G9" s="19"/>
      <c r="L9" s="19"/>
      <c r="Q9" s="19"/>
    </row>
    <row r="10" spans="1:18" ht="21" x14ac:dyDescent="0.35">
      <c r="C10" s="12" t="s">
        <v>30</v>
      </c>
      <c r="D10" s="17" t="s">
        <v>19</v>
      </c>
      <c r="E10" s="17" t="s">
        <v>18</v>
      </c>
      <c r="F10" s="17" t="s">
        <v>17</v>
      </c>
      <c r="G10" s="17" t="s">
        <v>16</v>
      </c>
      <c r="H10" s="8"/>
      <c r="I10" s="17" t="s">
        <v>19</v>
      </c>
      <c r="J10" s="17" t="s">
        <v>18</v>
      </c>
      <c r="K10" s="17" t="s">
        <v>17</v>
      </c>
      <c r="L10" s="17" t="s">
        <v>16</v>
      </c>
      <c r="M10" s="8"/>
      <c r="N10" s="17" t="s">
        <v>19</v>
      </c>
      <c r="O10" s="17" t="s">
        <v>18</v>
      </c>
      <c r="P10" s="17" t="s">
        <v>17</v>
      </c>
      <c r="Q10" s="17" t="s">
        <v>16</v>
      </c>
    </row>
    <row r="11" spans="1:18" x14ac:dyDescent="0.35">
      <c r="A11" s="2" t="s">
        <v>4</v>
      </c>
      <c r="C11" s="15" t="s">
        <v>15</v>
      </c>
      <c r="D11" s="13">
        <f>16316-D12</f>
        <v>7568</v>
      </c>
      <c r="E11" s="13">
        <f>12203396752-E12</f>
        <v>9578315234</v>
      </c>
      <c r="F11" s="14">
        <v>1.268E-3</v>
      </c>
      <c r="G11" s="13">
        <v>12146535</v>
      </c>
      <c r="H11" s="8"/>
      <c r="I11" s="13">
        <f>16316-I12</f>
        <v>8012</v>
      </c>
      <c r="J11" s="13">
        <f>12203396752-J12</f>
        <v>9840076691</v>
      </c>
      <c r="K11" s="14">
        <v>1.639E-3</v>
      </c>
      <c r="L11" s="13">
        <v>16128597</v>
      </c>
      <c r="M11" s="8"/>
      <c r="N11" s="13">
        <f>16316-N12</f>
        <v>8078</v>
      </c>
      <c r="O11" s="13">
        <f>12203396752-O12</f>
        <v>9873546033</v>
      </c>
      <c r="P11" s="14">
        <v>1.6980000000000001E-3</v>
      </c>
      <c r="Q11" s="13">
        <v>16763235</v>
      </c>
      <c r="R11" s="24"/>
    </row>
    <row r="12" spans="1:18" x14ac:dyDescent="0.35">
      <c r="A12" s="2" t="s">
        <v>4</v>
      </c>
      <c r="C12" s="16" t="s">
        <v>14</v>
      </c>
      <c r="D12" s="13">
        <v>8748</v>
      </c>
      <c r="E12" s="13">
        <v>2625081518</v>
      </c>
      <c r="F12" s="14">
        <v>850</v>
      </c>
      <c r="G12" s="13">
        <v>7432766</v>
      </c>
      <c r="H12" s="8"/>
      <c r="I12" s="13">
        <v>8304</v>
      </c>
      <c r="J12" s="13">
        <v>2363320061</v>
      </c>
      <c r="K12" s="14">
        <v>850</v>
      </c>
      <c r="L12" s="13">
        <v>7058400</v>
      </c>
      <c r="M12" s="8"/>
      <c r="N12" s="13">
        <v>8238</v>
      </c>
      <c r="O12" s="13">
        <v>2329850719</v>
      </c>
      <c r="P12" s="14">
        <v>850</v>
      </c>
      <c r="Q12" s="13">
        <v>7002300</v>
      </c>
    </row>
    <row r="13" spans="1:18" x14ac:dyDescent="0.35">
      <c r="A13" s="2" t="s">
        <v>3</v>
      </c>
      <c r="C13" s="15" t="s">
        <v>13</v>
      </c>
      <c r="D13" s="14">
        <f>833-D14</f>
        <v>679</v>
      </c>
      <c r="E13" s="13">
        <f>1289703293-E14</f>
        <v>1276904064</v>
      </c>
      <c r="F13" s="14">
        <v>4.1830000000000001E-3</v>
      </c>
      <c r="G13" s="13">
        <v>5340876</v>
      </c>
      <c r="H13" s="8"/>
      <c r="I13" s="14">
        <f>833-I14</f>
        <v>672</v>
      </c>
      <c r="J13" s="13">
        <f>1289703293-J14</f>
        <v>1275506143</v>
      </c>
      <c r="K13" s="14">
        <v>4.0289999999999996E-3</v>
      </c>
      <c r="L13" s="13">
        <v>5138428</v>
      </c>
      <c r="M13" s="8"/>
      <c r="N13" s="14">
        <f>833-N14</f>
        <v>672</v>
      </c>
      <c r="O13" s="13">
        <f>1289703293-O14</f>
        <v>1275506143</v>
      </c>
      <c r="P13" s="14">
        <v>4.0039999999999997E-3</v>
      </c>
      <c r="Q13" s="13">
        <v>5106872</v>
      </c>
    </row>
    <row r="14" spans="1:18" x14ac:dyDescent="0.35">
      <c r="A14" s="2" t="s">
        <v>3</v>
      </c>
      <c r="C14" s="15" t="s">
        <v>29</v>
      </c>
      <c r="D14" s="14">
        <v>154</v>
      </c>
      <c r="E14" s="13">
        <v>12799229</v>
      </c>
      <c r="F14" s="14">
        <v>820</v>
      </c>
      <c r="G14" s="13">
        <v>126280</v>
      </c>
      <c r="H14" s="8"/>
      <c r="I14" s="14">
        <v>161</v>
      </c>
      <c r="J14" s="13">
        <v>14197150</v>
      </c>
      <c r="K14" s="14">
        <v>820</v>
      </c>
      <c r="L14" s="13">
        <v>132020</v>
      </c>
      <c r="M14" s="8"/>
      <c r="N14" s="14">
        <v>161</v>
      </c>
      <c r="O14" s="13">
        <v>14197150</v>
      </c>
      <c r="P14" s="14">
        <v>820</v>
      </c>
      <c r="Q14" s="13">
        <v>132020</v>
      </c>
    </row>
    <row r="15" spans="1:18" x14ac:dyDescent="0.35">
      <c r="A15" s="2" t="s">
        <v>1</v>
      </c>
      <c r="C15" s="15" t="s">
        <v>28</v>
      </c>
      <c r="D15" s="14">
        <v>1</v>
      </c>
      <c r="E15" s="13">
        <v>51026844</v>
      </c>
      <c r="F15" s="14">
        <v>6.6829999999999997E-3</v>
      </c>
      <c r="G15" s="13">
        <v>341008.14845199999</v>
      </c>
      <c r="H15" s="8"/>
      <c r="I15" s="14">
        <v>1</v>
      </c>
      <c r="J15" s="13">
        <v>51026844</v>
      </c>
      <c r="K15" s="14">
        <v>6.6829999999999997E-3</v>
      </c>
      <c r="L15" s="13">
        <f>E15*K15-4.25</f>
        <v>341008.14845199999</v>
      </c>
      <c r="M15" s="8"/>
      <c r="N15" s="14">
        <v>1</v>
      </c>
      <c r="O15" s="13">
        <v>51026844</v>
      </c>
      <c r="P15" s="14">
        <v>6.6829999999999997E-3</v>
      </c>
      <c r="Q15" s="13">
        <f>J15*P15-4.25</f>
        <v>341008.14845199999</v>
      </c>
    </row>
    <row r="16" spans="1:18" ht="10.5" x14ac:dyDescent="0.35">
      <c r="C16" s="12"/>
      <c r="D16" s="10"/>
      <c r="E16" s="10"/>
      <c r="F16" s="11"/>
      <c r="G16" s="10"/>
      <c r="H16" s="8"/>
      <c r="I16" s="10"/>
      <c r="J16" s="10"/>
      <c r="K16" s="11"/>
      <c r="L16" s="10"/>
      <c r="M16" s="8"/>
      <c r="N16" s="10"/>
      <c r="O16" s="10"/>
      <c r="P16" s="11"/>
      <c r="Q16" s="10"/>
    </row>
    <row r="17" spans="1:26" ht="10.5" x14ac:dyDescent="0.35">
      <c r="C17" s="12" t="str">
        <f>"TOTAL - "&amp;C10</f>
        <v>TOTAL - Ashfield</v>
      </c>
      <c r="D17" s="10">
        <f>SUM(D11:D16)</f>
        <v>17150</v>
      </c>
      <c r="E17" s="10">
        <f>SUM(E11:E16)</f>
        <v>13544126889</v>
      </c>
      <c r="F17" s="11"/>
      <c r="G17" s="10">
        <f>SUM(G11:G16)</f>
        <v>25387465.148451999</v>
      </c>
      <c r="H17" s="8"/>
      <c r="I17" s="10">
        <f>SUM(I11:I16)</f>
        <v>17150</v>
      </c>
      <c r="J17" s="10">
        <f>SUM(J11:J16)</f>
        <v>13544126889</v>
      </c>
      <c r="K17" s="11"/>
      <c r="L17" s="10">
        <f>SUM(L11:L16)</f>
        <v>28798453.148451999</v>
      </c>
      <c r="M17" s="8"/>
      <c r="N17" s="10">
        <f>SUM(N11:N16)</f>
        <v>17150</v>
      </c>
      <c r="O17" s="10">
        <f>SUM(O11:O16)</f>
        <v>13544126889</v>
      </c>
      <c r="P17" s="11"/>
      <c r="Q17" s="10">
        <f>SUM(Q11:Q16)</f>
        <v>29345435.148451999</v>
      </c>
    </row>
    <row r="18" spans="1:26" x14ac:dyDescent="0.3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26" ht="21" x14ac:dyDescent="0.35">
      <c r="C19" s="12" t="s">
        <v>27</v>
      </c>
      <c r="D19" s="17" t="s">
        <v>19</v>
      </c>
      <c r="E19" s="17" t="s">
        <v>18</v>
      </c>
      <c r="F19" s="17" t="s">
        <v>17</v>
      </c>
      <c r="G19" s="17" t="s">
        <v>16</v>
      </c>
      <c r="H19" s="8"/>
      <c r="I19" s="17" t="s">
        <v>19</v>
      </c>
      <c r="J19" s="17" t="s">
        <v>18</v>
      </c>
      <c r="K19" s="17" t="s">
        <v>17</v>
      </c>
      <c r="L19" s="17" t="s">
        <v>16</v>
      </c>
      <c r="M19" s="8"/>
      <c r="N19" s="17" t="s">
        <v>19</v>
      </c>
      <c r="O19" s="17" t="s">
        <v>18</v>
      </c>
      <c r="P19" s="17" t="s">
        <v>17</v>
      </c>
      <c r="Q19" s="17" t="s">
        <v>16</v>
      </c>
    </row>
    <row r="20" spans="1:26" x14ac:dyDescent="0.35">
      <c r="A20" s="2" t="s">
        <v>4</v>
      </c>
      <c r="C20" s="15" t="s">
        <v>15</v>
      </c>
      <c r="D20" s="13">
        <f>23646-D21</f>
        <v>15832</v>
      </c>
      <c r="E20" s="13">
        <f>22794818344-E21</f>
        <v>20281939618</v>
      </c>
      <c r="F20" s="14">
        <v>1.268E-3</v>
      </c>
      <c r="G20" s="13">
        <v>25720106</v>
      </c>
      <c r="H20" s="8"/>
      <c r="I20" s="13">
        <f>23646-I21</f>
        <v>16001</v>
      </c>
      <c r="J20" s="13">
        <f>22794818344-J21</f>
        <v>20393084632</v>
      </c>
      <c r="K20" s="14">
        <v>1.3090000000000001E-3</v>
      </c>
      <c r="L20" s="13">
        <v>26694414</v>
      </c>
      <c r="M20" s="8"/>
      <c r="N20" s="13">
        <f>23646-N21</f>
        <v>16013</v>
      </c>
      <c r="O20" s="13">
        <f>22794818344-O21</f>
        <v>20400853912</v>
      </c>
      <c r="P20" s="14">
        <v>1.3159999999999999E-3</v>
      </c>
      <c r="Q20" s="13">
        <v>26854087</v>
      </c>
    </row>
    <row r="21" spans="1:26" x14ac:dyDescent="0.35">
      <c r="A21" s="2" t="s">
        <v>4</v>
      </c>
      <c r="C21" s="15" t="s">
        <v>14</v>
      </c>
      <c r="D21" s="13">
        <v>7814</v>
      </c>
      <c r="E21" s="13">
        <v>2512878726</v>
      </c>
      <c r="F21" s="14">
        <v>850</v>
      </c>
      <c r="G21" s="13">
        <v>6628521</v>
      </c>
      <c r="H21" s="8"/>
      <c r="I21" s="13">
        <v>7645</v>
      </c>
      <c r="J21" s="13">
        <v>2401733712</v>
      </c>
      <c r="K21" s="14">
        <v>850</v>
      </c>
      <c r="L21" s="13">
        <v>6484871</v>
      </c>
      <c r="M21" s="8"/>
      <c r="N21" s="13">
        <v>7633</v>
      </c>
      <c r="O21" s="13">
        <v>2393964432</v>
      </c>
      <c r="P21" s="14">
        <v>850</v>
      </c>
      <c r="Q21" s="13">
        <v>6474671</v>
      </c>
    </row>
    <row r="22" spans="1:26" x14ac:dyDescent="0.35">
      <c r="C22" s="15" t="s">
        <v>26</v>
      </c>
      <c r="D22" s="14" t="s">
        <v>25</v>
      </c>
      <c r="E22" s="13" t="s">
        <v>25</v>
      </c>
      <c r="F22" s="14" t="s">
        <v>25</v>
      </c>
      <c r="G22" s="13">
        <v>0</v>
      </c>
      <c r="H22" s="8"/>
      <c r="I22" s="14" t="s">
        <v>25</v>
      </c>
      <c r="J22" s="13" t="s">
        <v>25</v>
      </c>
      <c r="K22" s="13" t="s">
        <v>25</v>
      </c>
      <c r="L22" s="13"/>
      <c r="M22" s="8"/>
      <c r="N22" s="14" t="s">
        <v>25</v>
      </c>
      <c r="O22" s="13" t="s">
        <v>25</v>
      </c>
      <c r="P22" s="13" t="s">
        <v>25</v>
      </c>
      <c r="Q22" s="13">
        <v>0</v>
      </c>
    </row>
    <row r="23" spans="1:26" x14ac:dyDescent="0.35">
      <c r="A23" s="2" t="s">
        <v>3</v>
      </c>
      <c r="C23" s="15" t="s">
        <v>24</v>
      </c>
      <c r="D23" s="13">
        <f>1693-D24</f>
        <v>1450</v>
      </c>
      <c r="E23" s="13">
        <f>2336534443-E24</f>
        <v>2312900222</v>
      </c>
      <c r="F23" s="14">
        <v>4.1830000000000001E-3</v>
      </c>
      <c r="G23" s="13">
        <v>9674112</v>
      </c>
      <c r="H23" s="8"/>
      <c r="I23" s="13">
        <f>1693-I24</f>
        <v>1500</v>
      </c>
      <c r="J23" s="13">
        <f>2336534443-J24</f>
        <v>2321753877</v>
      </c>
      <c r="K23" s="14">
        <v>5.215E-3</v>
      </c>
      <c r="L23" s="13">
        <v>12109107</v>
      </c>
      <c r="M23" s="8"/>
      <c r="N23" s="13">
        <f>1693-N24</f>
        <v>1511</v>
      </c>
      <c r="O23" s="13">
        <f>2336534443-O24</f>
        <v>2323449508</v>
      </c>
      <c r="P23" s="14">
        <v>5.3829999999999998E-3</v>
      </c>
      <c r="Q23" s="13">
        <v>12507549</v>
      </c>
      <c r="R23" s="24"/>
    </row>
    <row r="24" spans="1:26" x14ac:dyDescent="0.35">
      <c r="A24" s="2" t="s">
        <v>3</v>
      </c>
      <c r="C24" s="15" t="s">
        <v>23</v>
      </c>
      <c r="D24" s="13">
        <v>243</v>
      </c>
      <c r="E24" s="13">
        <v>23634221</v>
      </c>
      <c r="F24" s="14">
        <v>820</v>
      </c>
      <c r="G24" s="13">
        <v>199260</v>
      </c>
      <c r="H24" s="8"/>
      <c r="I24" s="13">
        <v>193</v>
      </c>
      <c r="J24" s="13">
        <v>14780566</v>
      </c>
      <c r="K24" s="14">
        <v>820</v>
      </c>
      <c r="L24" s="13">
        <v>158260</v>
      </c>
      <c r="M24" s="8"/>
      <c r="N24" s="13">
        <v>182</v>
      </c>
      <c r="O24" s="13">
        <v>13084935</v>
      </c>
      <c r="P24" s="14">
        <v>820</v>
      </c>
      <c r="Q24" s="13">
        <v>149240</v>
      </c>
    </row>
    <row r="25" spans="1:26" x14ac:dyDescent="0.35">
      <c r="A25" s="2" t="s">
        <v>1</v>
      </c>
      <c r="C25" s="15" t="s">
        <v>22</v>
      </c>
      <c r="D25" s="14">
        <v>1</v>
      </c>
      <c r="E25" s="13">
        <v>34700000</v>
      </c>
      <c r="F25" s="14">
        <v>6.6829999999999997E-3</v>
      </c>
      <c r="G25" s="13">
        <v>231895.84999999998</v>
      </c>
      <c r="H25" s="8"/>
      <c r="I25" s="14">
        <v>1</v>
      </c>
      <c r="J25" s="13">
        <v>34700000</v>
      </c>
      <c r="K25" s="14">
        <v>6.6829999999999997E-3</v>
      </c>
      <c r="L25" s="13">
        <f>E25*K25-4.25</f>
        <v>231895.84999999998</v>
      </c>
      <c r="M25" s="8"/>
      <c r="N25" s="14">
        <v>1</v>
      </c>
      <c r="O25" s="13">
        <v>34700000</v>
      </c>
      <c r="P25" s="14">
        <v>6.6829999999999997E-3</v>
      </c>
      <c r="Q25" s="13">
        <f>J25*P25-4.25</f>
        <v>231895.84999999998</v>
      </c>
    </row>
    <row r="26" spans="1:26" x14ac:dyDescent="0.35">
      <c r="A26" s="2" t="s">
        <v>1</v>
      </c>
      <c r="C26" s="15" t="s">
        <v>21</v>
      </c>
      <c r="D26" s="14">
        <v>1</v>
      </c>
      <c r="E26" s="13">
        <v>32800000</v>
      </c>
      <c r="F26" s="14">
        <v>6.6829999999999997E-3</v>
      </c>
      <c r="G26" s="13">
        <v>219198.15</v>
      </c>
      <c r="H26" s="8"/>
      <c r="I26" s="14">
        <v>1</v>
      </c>
      <c r="J26" s="13">
        <v>32800000</v>
      </c>
      <c r="K26" s="14">
        <v>6.6829999999999997E-3</v>
      </c>
      <c r="L26" s="13">
        <f>E26*K26-4.25</f>
        <v>219198.15</v>
      </c>
      <c r="M26" s="8"/>
      <c r="N26" s="14">
        <v>1</v>
      </c>
      <c r="O26" s="13">
        <v>32800000</v>
      </c>
      <c r="P26" s="14">
        <v>6.6829999999999997E-3</v>
      </c>
      <c r="Q26" s="13">
        <f>J26*P26-4.25</f>
        <v>219198.15</v>
      </c>
    </row>
    <row r="27" spans="1:26" ht="13" x14ac:dyDescent="0.35">
      <c r="C27" s="12" t="str">
        <f>"TOTAL - "&amp;C19</f>
        <v>TOTAL - Leichhardt</v>
      </c>
      <c r="D27" s="10">
        <f>SUM(D20:D26)</f>
        <v>25341</v>
      </c>
      <c r="E27" s="10">
        <f>SUM(E20:E26)</f>
        <v>25198852787</v>
      </c>
      <c r="F27" s="11"/>
      <c r="G27" s="10">
        <f>SUM(G20:G26)</f>
        <v>42673093</v>
      </c>
      <c r="H27" s="8"/>
      <c r="I27" s="10">
        <f>SUM(I20:I26)</f>
        <v>25341</v>
      </c>
      <c r="J27" s="10">
        <f>SUM(J20:J26)</f>
        <v>25198852787</v>
      </c>
      <c r="K27" s="11"/>
      <c r="L27" s="10">
        <f>SUM(L20:L26)</f>
        <v>45897746</v>
      </c>
      <c r="M27" s="8"/>
      <c r="N27" s="10">
        <f>SUM(N20:N26)</f>
        <v>25341</v>
      </c>
      <c r="O27" s="10">
        <f>SUM(O20:O26)</f>
        <v>25198852787</v>
      </c>
      <c r="P27" s="11"/>
      <c r="Q27" s="10">
        <f>SUM(Q20:Q26)</f>
        <v>46436641</v>
      </c>
      <c r="Y27" s="18"/>
      <c r="Z27" s="18"/>
    </row>
    <row r="28" spans="1:26" x14ac:dyDescent="0.3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6" ht="21" x14ac:dyDescent="0.35">
      <c r="C29" s="12" t="s">
        <v>20</v>
      </c>
      <c r="D29" s="17" t="s">
        <v>19</v>
      </c>
      <c r="E29" s="17" t="s">
        <v>18</v>
      </c>
      <c r="F29" s="17" t="s">
        <v>17</v>
      </c>
      <c r="G29" s="17" t="s">
        <v>16</v>
      </c>
      <c r="H29" s="8"/>
      <c r="I29" s="17" t="s">
        <v>19</v>
      </c>
      <c r="J29" s="17" t="s">
        <v>18</v>
      </c>
      <c r="K29" s="17" t="s">
        <v>17</v>
      </c>
      <c r="L29" s="17" t="s">
        <v>16</v>
      </c>
      <c r="M29" s="8"/>
      <c r="N29" s="17" t="s">
        <v>19</v>
      </c>
      <c r="O29" s="17" t="s">
        <v>18</v>
      </c>
      <c r="P29" s="17" t="s">
        <v>17</v>
      </c>
      <c r="Q29" s="17" t="s">
        <v>16</v>
      </c>
    </row>
    <row r="30" spans="1:26" x14ac:dyDescent="0.35">
      <c r="A30" s="2" t="s">
        <v>4</v>
      </c>
      <c r="C30" s="15" t="s">
        <v>15</v>
      </c>
      <c r="D30" s="13">
        <f>33451-D31</f>
        <v>18466</v>
      </c>
      <c r="E30" s="13">
        <f>23758511905-E31</f>
        <v>19424557578</v>
      </c>
      <c r="F30" s="14">
        <v>1.268E-3</v>
      </c>
      <c r="G30" s="13">
        <v>24632835</v>
      </c>
      <c r="H30" s="8"/>
      <c r="I30" s="13">
        <f>33451-I31</f>
        <v>13536</v>
      </c>
      <c r="J30" s="13">
        <f>23758511905-J31</f>
        <v>15696991173</v>
      </c>
      <c r="K30" s="14">
        <v>1.0200000000000001E-3</v>
      </c>
      <c r="L30" s="13">
        <v>16006606</v>
      </c>
      <c r="M30" s="8"/>
      <c r="N30" s="13">
        <f>33451-N31</f>
        <v>11955</v>
      </c>
      <c r="O30" s="13">
        <f>23758511905-O31</f>
        <v>14348213187</v>
      </c>
      <c r="P30" s="14">
        <v>9.7099999999999997E-4</v>
      </c>
      <c r="Q30" s="13">
        <v>13937865</v>
      </c>
      <c r="R30" s="24"/>
    </row>
    <row r="31" spans="1:26" x14ac:dyDescent="0.35">
      <c r="A31" s="2" t="s">
        <v>4</v>
      </c>
      <c r="C31" s="15" t="s">
        <v>14</v>
      </c>
      <c r="D31" s="13">
        <v>14985</v>
      </c>
      <c r="E31" s="13">
        <v>4333954327</v>
      </c>
      <c r="F31" s="14">
        <v>850</v>
      </c>
      <c r="G31" s="13">
        <v>12737250</v>
      </c>
      <c r="H31" s="8"/>
      <c r="I31" s="13">
        <v>19915</v>
      </c>
      <c r="J31" s="13">
        <v>8061520732</v>
      </c>
      <c r="K31" s="14">
        <v>850</v>
      </c>
      <c r="L31" s="13">
        <v>16925124</v>
      </c>
      <c r="M31" s="8"/>
      <c r="N31" s="13">
        <v>21496</v>
      </c>
      <c r="O31" s="13">
        <v>9410298718</v>
      </c>
      <c r="P31" s="14">
        <v>850</v>
      </c>
      <c r="Q31" s="13">
        <v>18265854</v>
      </c>
    </row>
    <row r="32" spans="1:26" x14ac:dyDescent="0.35">
      <c r="A32" s="2" t="s">
        <v>3</v>
      </c>
      <c r="C32" s="15" t="s">
        <v>13</v>
      </c>
      <c r="D32" s="13">
        <f>1922-D33</f>
        <v>1675</v>
      </c>
      <c r="E32" s="13">
        <f>2352912505-E33</f>
        <v>2328708990</v>
      </c>
      <c r="F32" s="14">
        <v>4.1830000000000001E-3</v>
      </c>
      <c r="G32" s="13">
        <v>9740235</v>
      </c>
      <c r="H32" s="8"/>
      <c r="I32" s="13">
        <f>1922-I33</f>
        <v>1605</v>
      </c>
      <c r="J32" s="13">
        <f>2352912505-J33</f>
        <v>2313146891</v>
      </c>
      <c r="K32" s="14">
        <v>3.2360000000000002E-3</v>
      </c>
      <c r="L32" s="13">
        <v>7485549</v>
      </c>
      <c r="M32" s="8"/>
      <c r="N32" s="13">
        <f>1922-N33</f>
        <v>1601</v>
      </c>
      <c r="O32" s="13">
        <f>2352912505-O33</f>
        <v>2312114731</v>
      </c>
      <c r="P32" s="14">
        <v>3.081E-3</v>
      </c>
      <c r="Q32" s="13">
        <v>7124403</v>
      </c>
    </row>
    <row r="33" spans="1:17" x14ac:dyDescent="0.35">
      <c r="A33" s="2" t="s">
        <v>3</v>
      </c>
      <c r="C33" s="16" t="s">
        <v>12</v>
      </c>
      <c r="D33" s="13">
        <v>247</v>
      </c>
      <c r="E33" s="13">
        <v>24203515</v>
      </c>
      <c r="F33" s="14">
        <v>820</v>
      </c>
      <c r="G33" s="13">
        <v>202540</v>
      </c>
      <c r="H33" s="8"/>
      <c r="I33" s="13">
        <v>317</v>
      </c>
      <c r="J33" s="13">
        <v>39765614</v>
      </c>
      <c r="K33" s="14">
        <v>820</v>
      </c>
      <c r="L33" s="13">
        <v>259940</v>
      </c>
      <c r="M33" s="8"/>
      <c r="N33" s="13">
        <v>321</v>
      </c>
      <c r="O33" s="13">
        <v>40797774</v>
      </c>
      <c r="P33" s="14">
        <v>820</v>
      </c>
      <c r="Q33" s="13">
        <v>263220</v>
      </c>
    </row>
    <row r="34" spans="1:17" x14ac:dyDescent="0.35">
      <c r="A34" s="2" t="s">
        <v>2</v>
      </c>
      <c r="C34" s="15" t="s">
        <v>11</v>
      </c>
      <c r="D34" s="13">
        <v>961</v>
      </c>
      <c r="E34" s="13">
        <v>1271979046</v>
      </c>
      <c r="F34" s="14">
        <v>5.8019999999999999E-3</v>
      </c>
      <c r="G34" s="13">
        <v>7380432</v>
      </c>
      <c r="H34" s="8"/>
      <c r="I34" s="13">
        <v>961</v>
      </c>
      <c r="J34" s="13">
        <v>1271979046</v>
      </c>
      <c r="K34" s="14">
        <v>5.8019999999999999E-3</v>
      </c>
      <c r="L34" s="13">
        <v>7380432</v>
      </c>
      <c r="M34" s="8"/>
      <c r="N34" s="13">
        <v>961</v>
      </c>
      <c r="O34" s="13">
        <v>1271979046</v>
      </c>
      <c r="P34" s="14">
        <v>5.8019999999999999E-3</v>
      </c>
      <c r="Q34" s="13">
        <v>7380432</v>
      </c>
    </row>
    <row r="35" spans="1:17" x14ac:dyDescent="0.35">
      <c r="A35" s="2" t="s">
        <v>2</v>
      </c>
      <c r="C35" s="15" t="s">
        <v>10</v>
      </c>
      <c r="D35" s="13">
        <v>149</v>
      </c>
      <c r="E35" s="13">
        <v>391247110</v>
      </c>
      <c r="F35" s="14">
        <v>5.8019999999999999E-3</v>
      </c>
      <c r="G35" s="13">
        <v>2270142</v>
      </c>
      <c r="H35" s="8"/>
      <c r="I35" s="13">
        <v>149</v>
      </c>
      <c r="J35" s="13">
        <v>391247110</v>
      </c>
      <c r="K35" s="14">
        <v>5.8019999999999999E-3</v>
      </c>
      <c r="L35" s="13">
        <v>2270142</v>
      </c>
      <c r="M35" s="8"/>
      <c r="N35" s="13">
        <v>149</v>
      </c>
      <c r="O35" s="13">
        <v>391247110</v>
      </c>
      <c r="P35" s="14">
        <v>5.8019999999999999E-3</v>
      </c>
      <c r="Q35" s="13">
        <v>2270142</v>
      </c>
    </row>
    <row r="36" spans="1:17" x14ac:dyDescent="0.35">
      <c r="A36" s="2" t="s">
        <v>2</v>
      </c>
      <c r="C36" s="15" t="s">
        <v>9</v>
      </c>
      <c r="D36" s="13">
        <v>84</v>
      </c>
      <c r="E36" s="13">
        <v>124126310</v>
      </c>
      <c r="F36" s="14">
        <v>5.8019999999999999E-3</v>
      </c>
      <c r="G36" s="13">
        <v>720221</v>
      </c>
      <c r="H36" s="8"/>
      <c r="I36" s="13">
        <v>84</v>
      </c>
      <c r="J36" s="13">
        <v>124126310</v>
      </c>
      <c r="K36" s="14">
        <v>5.8019999999999999E-3</v>
      </c>
      <c r="L36" s="13">
        <v>720221</v>
      </c>
      <c r="M36" s="8"/>
      <c r="N36" s="13">
        <v>84</v>
      </c>
      <c r="O36" s="13">
        <v>124126310</v>
      </c>
      <c r="P36" s="14">
        <v>5.8019999999999999E-3</v>
      </c>
      <c r="Q36" s="13">
        <v>720221</v>
      </c>
    </row>
    <row r="37" spans="1:17" x14ac:dyDescent="0.35">
      <c r="A37" s="2" t="s">
        <v>2</v>
      </c>
      <c r="C37" s="15" t="s">
        <v>8</v>
      </c>
      <c r="D37" s="13">
        <v>82</v>
      </c>
      <c r="E37" s="13">
        <v>78240840</v>
      </c>
      <c r="F37" s="14">
        <v>5.8019999999999999E-3</v>
      </c>
      <c r="G37" s="13">
        <v>453979</v>
      </c>
      <c r="H37" s="8"/>
      <c r="I37" s="13">
        <v>82</v>
      </c>
      <c r="J37" s="13">
        <v>78240840</v>
      </c>
      <c r="K37" s="14">
        <v>5.8019999999999999E-3</v>
      </c>
      <c r="L37" s="13">
        <v>453979</v>
      </c>
      <c r="M37" s="8"/>
      <c r="N37" s="13">
        <v>82</v>
      </c>
      <c r="O37" s="13">
        <v>78240840</v>
      </c>
      <c r="P37" s="14">
        <v>5.8019999999999999E-3</v>
      </c>
      <c r="Q37" s="13">
        <v>453979</v>
      </c>
    </row>
    <row r="38" spans="1:17" x14ac:dyDescent="0.35">
      <c r="A38" s="2" t="s">
        <v>1</v>
      </c>
      <c r="C38" s="15" t="s">
        <v>7</v>
      </c>
      <c r="D38" s="14">
        <v>1</v>
      </c>
      <c r="E38" s="13">
        <v>35200000</v>
      </c>
      <c r="F38" s="14">
        <v>6.6829999999999997E-3</v>
      </c>
      <c r="G38" s="13">
        <v>235237.34999999998</v>
      </c>
      <c r="H38" s="8"/>
      <c r="I38" s="14">
        <v>1</v>
      </c>
      <c r="J38" s="13">
        <v>35200000</v>
      </c>
      <c r="K38" s="14">
        <v>6.6829999999999997E-3</v>
      </c>
      <c r="L38" s="13">
        <f>E38*K38-4.25</f>
        <v>235237.34999999998</v>
      </c>
      <c r="M38" s="8"/>
      <c r="N38" s="14">
        <v>1</v>
      </c>
      <c r="O38" s="13">
        <v>35200000</v>
      </c>
      <c r="P38" s="14">
        <v>6.6829999999999997E-3</v>
      </c>
      <c r="Q38" s="13">
        <v>235237.34999999998</v>
      </c>
    </row>
    <row r="39" spans="1:17" x14ac:dyDescent="0.35">
      <c r="A39" s="2" t="s">
        <v>0</v>
      </c>
      <c r="C39" s="15" t="s">
        <v>6</v>
      </c>
      <c r="D39" s="14">
        <v>2</v>
      </c>
      <c r="E39" s="13">
        <v>6575000</v>
      </c>
      <c r="F39" s="14">
        <v>1.1394E-2</v>
      </c>
      <c r="G39" s="13">
        <v>74913</v>
      </c>
      <c r="H39" s="8"/>
      <c r="I39" s="14">
        <v>2</v>
      </c>
      <c r="J39" s="13">
        <v>6575000</v>
      </c>
      <c r="K39" s="14">
        <v>1.1394E-2</v>
      </c>
      <c r="L39" s="13">
        <v>74913</v>
      </c>
      <c r="M39" s="8"/>
      <c r="N39" s="14">
        <v>2</v>
      </c>
      <c r="O39" s="13">
        <v>6575000</v>
      </c>
      <c r="P39" s="14">
        <v>1.1394E-2</v>
      </c>
      <c r="Q39" s="13">
        <v>74913</v>
      </c>
    </row>
    <row r="40" spans="1:17" ht="10.5" x14ac:dyDescent="0.35">
      <c r="C40" s="12" t="str">
        <f>"TOTAL - "&amp;C29</f>
        <v>TOTAL - Marrickville</v>
      </c>
      <c r="D40" s="10">
        <f>SUM(D30:D39)</f>
        <v>36652</v>
      </c>
      <c r="E40" s="10">
        <f>SUM(E30:E39)</f>
        <v>28018792716</v>
      </c>
      <c r="F40" s="11"/>
      <c r="G40" s="10">
        <f>SUM(G30:G39)</f>
        <v>58447784.350000001</v>
      </c>
      <c r="H40" s="8"/>
      <c r="I40" s="10">
        <f>SUM(I30:I39)</f>
        <v>36652</v>
      </c>
      <c r="J40" s="10">
        <f>SUM(J30:J39)</f>
        <v>28018792716</v>
      </c>
      <c r="K40" s="11"/>
      <c r="L40" s="10">
        <f>SUM(L30:L39)</f>
        <v>51812143.350000001</v>
      </c>
      <c r="M40" s="8"/>
      <c r="N40" s="10">
        <f>SUM(N30:N39)</f>
        <v>36652</v>
      </c>
      <c r="O40" s="10">
        <f>SUM(O30:O39)</f>
        <v>28018792716</v>
      </c>
      <c r="P40" s="11"/>
      <c r="Q40" s="10">
        <f>SUM(Q30:Q39)</f>
        <v>50726266.350000001</v>
      </c>
    </row>
    <row r="41" spans="1:17" x14ac:dyDescent="0.3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0.5" x14ac:dyDescent="0.35">
      <c r="C42" s="12" t="s">
        <v>43</v>
      </c>
      <c r="D42" s="10">
        <f>SUM(D17,D27,D40)</f>
        <v>79143</v>
      </c>
      <c r="E42" s="10">
        <f>SUM(E17,E27,E40)</f>
        <v>66761772392</v>
      </c>
      <c r="F42" s="14"/>
      <c r="G42" s="10">
        <f>SUM(G17,G27,G40)</f>
        <v>126508342.49845201</v>
      </c>
      <c r="H42" s="8"/>
      <c r="I42" s="10">
        <f>SUM(I17,I27,I40)</f>
        <v>79143</v>
      </c>
      <c r="J42" s="10">
        <f>SUM(J17,J27,J40)</f>
        <v>66761772392</v>
      </c>
      <c r="K42" s="14"/>
      <c r="L42" s="10">
        <f>SUM(L17,L27,L40)</f>
        <v>126508342.49845201</v>
      </c>
      <c r="M42" s="8"/>
      <c r="N42" s="10">
        <f>SUM(N17,N27,N40)</f>
        <v>79143</v>
      </c>
      <c r="O42" s="10">
        <f>SUM(O17,O27,O40)</f>
        <v>66761772392</v>
      </c>
      <c r="P42" s="14"/>
      <c r="Q42" s="10">
        <f>SUM(Q17,Q27,Q40)</f>
        <v>126508342.49845201</v>
      </c>
    </row>
    <row r="43" spans="1:17" ht="10.5" hidden="1" outlineLevel="1" x14ac:dyDescent="0.35">
      <c r="D43" s="8"/>
      <c r="E43" s="9">
        <f>66761772392-E42</f>
        <v>0</v>
      </c>
      <c r="F43" s="8"/>
      <c r="G43" s="7">
        <f>ROUNDDOWN(126508342.498452-G42,0)</f>
        <v>0</v>
      </c>
      <c r="H43" s="8"/>
      <c r="I43" s="8"/>
      <c r="J43" s="9">
        <f>66761772392-J42</f>
        <v>0</v>
      </c>
      <c r="K43" s="8"/>
      <c r="L43" s="7">
        <f>ROUNDDOWN(126508342.498452-L42,0)</f>
        <v>0</v>
      </c>
      <c r="M43" s="8"/>
      <c r="N43" s="8"/>
      <c r="O43" s="9">
        <f>66761772392-O42</f>
        <v>0</v>
      </c>
      <c r="P43" s="8"/>
      <c r="Q43" s="7">
        <f>ROUNDDOWN(126508342.498452-Q42,0)</f>
        <v>0</v>
      </c>
    </row>
    <row r="44" spans="1:17" collapsed="1" x14ac:dyDescent="0.35">
      <c r="E44" s="6"/>
    </row>
    <row r="46" spans="1:17" hidden="1" outlineLevel="1" x14ac:dyDescent="0.35">
      <c r="A46" s="2" t="s">
        <v>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idden="1" outlineLevel="1" x14ac:dyDescent="0.35">
      <c r="A47" s="2" t="s">
        <v>4</v>
      </c>
      <c r="C47" s="2" t="s">
        <v>39</v>
      </c>
      <c r="D47" s="5">
        <f t="shared" ref="D47:E51" si="0">SUMIF($A$11:$A$40,$A47,D$11:D$40)</f>
        <v>73413</v>
      </c>
      <c r="E47" s="5">
        <f t="shared" si="0"/>
        <v>58756727001</v>
      </c>
      <c r="F47" s="5"/>
      <c r="G47" s="5">
        <f>SUMIF($A$11:$A$40,$A47,G$11:G$40)</f>
        <v>89298013</v>
      </c>
      <c r="H47" s="2"/>
      <c r="I47" s="5">
        <f t="shared" ref="I47:J51" si="1">SUMIF($A$11:$A$40,$A47,I$11:I$40)</f>
        <v>73413</v>
      </c>
      <c r="J47" s="5">
        <f t="shared" si="1"/>
        <v>58756727001</v>
      </c>
      <c r="K47" s="2"/>
      <c r="L47" s="5">
        <f>SUMIF($A$11:$A$40,$A47,L$11:L$40)</f>
        <v>89298012</v>
      </c>
      <c r="M47" s="2"/>
      <c r="N47" s="2"/>
      <c r="O47" s="5">
        <f>SUMIF($A$11:$A$40,$A47,O$11:O$40)</f>
        <v>58756727001</v>
      </c>
      <c r="P47" s="2"/>
      <c r="Q47" s="5">
        <f>SUMIF($A$11:$A$40,$A47,Q$11:Q$40)</f>
        <v>89298012</v>
      </c>
    </row>
    <row r="48" spans="1:17" hidden="1" outlineLevel="1" x14ac:dyDescent="0.35">
      <c r="A48" s="2" t="s">
        <v>3</v>
      </c>
      <c r="C48" s="2" t="s">
        <v>40</v>
      </c>
      <c r="D48" s="5">
        <f t="shared" si="0"/>
        <v>4448</v>
      </c>
      <c r="E48" s="5">
        <f t="shared" si="0"/>
        <v>5979150241</v>
      </c>
      <c r="F48" s="5"/>
      <c r="G48" s="5">
        <f>SUMIF($A$11:$A$40,$A48,G$11:G$40)</f>
        <v>25283303</v>
      </c>
      <c r="H48" s="2"/>
      <c r="I48" s="5">
        <f t="shared" si="1"/>
        <v>4448</v>
      </c>
      <c r="J48" s="5">
        <f t="shared" si="1"/>
        <v>5979150241</v>
      </c>
      <c r="K48" s="2"/>
      <c r="L48" s="5">
        <f>SUMIF($A$11:$A$40,$A48,L$11:L$40)</f>
        <v>25283304</v>
      </c>
      <c r="M48" s="2"/>
      <c r="N48" s="2"/>
      <c r="O48" s="5">
        <f>SUMIF($A$11:$A$40,$A48,O$11:O$40)</f>
        <v>5979150241</v>
      </c>
      <c r="P48" s="2"/>
      <c r="Q48" s="5">
        <f>SUMIF($A$11:$A$40,$A48,Q$11:Q$40)</f>
        <v>25283304</v>
      </c>
    </row>
    <row r="49" spans="1:17" hidden="1" outlineLevel="1" x14ac:dyDescent="0.35">
      <c r="A49" s="2" t="s">
        <v>2</v>
      </c>
      <c r="C49" s="2" t="s">
        <v>41</v>
      </c>
      <c r="D49" s="5">
        <f t="shared" si="0"/>
        <v>1276</v>
      </c>
      <c r="E49" s="5">
        <f t="shared" si="0"/>
        <v>1865593306</v>
      </c>
      <c r="F49" s="5"/>
      <c r="G49" s="5">
        <f>SUMIF($A$11:$A$40,$A49,G$11:G$40)</f>
        <v>10824774</v>
      </c>
      <c r="H49" s="2"/>
      <c r="I49" s="5">
        <f t="shared" si="1"/>
        <v>1276</v>
      </c>
      <c r="J49" s="5">
        <f t="shared" si="1"/>
        <v>1865593306</v>
      </c>
      <c r="K49" s="2"/>
      <c r="L49" s="5">
        <f>SUMIF($A$11:$A$40,$A49,L$11:L$40)</f>
        <v>10824774</v>
      </c>
      <c r="M49" s="2"/>
      <c r="N49" s="2"/>
      <c r="O49" s="5">
        <f>SUMIF($A$11:$A$40,$A49,O$11:O$40)</f>
        <v>1865593306</v>
      </c>
      <c r="P49" s="2"/>
      <c r="Q49" s="5">
        <f>SUMIF($A$11:$A$40,$A49,Q$11:Q$40)</f>
        <v>10824774</v>
      </c>
    </row>
    <row r="50" spans="1:17" hidden="1" outlineLevel="1" x14ac:dyDescent="0.35">
      <c r="A50" s="2" t="s">
        <v>1</v>
      </c>
      <c r="C50" s="2" t="s">
        <v>42</v>
      </c>
      <c r="D50" s="5">
        <f t="shared" si="0"/>
        <v>4</v>
      </c>
      <c r="E50" s="5">
        <f t="shared" si="0"/>
        <v>153726844</v>
      </c>
      <c r="F50" s="5"/>
      <c r="G50" s="5">
        <f>SUMIF($A$11:$A$40,$A50,G$11:G$40)</f>
        <v>1027339.498452</v>
      </c>
      <c r="H50" s="2"/>
      <c r="I50" s="5">
        <f t="shared" si="1"/>
        <v>4</v>
      </c>
      <c r="J50" s="5">
        <f t="shared" si="1"/>
        <v>153726844</v>
      </c>
      <c r="K50" s="2"/>
      <c r="L50" s="5">
        <f>SUMIF($A$11:$A$40,$A50,L$11:L$40)</f>
        <v>1027339.498452</v>
      </c>
      <c r="M50" s="2"/>
      <c r="N50" s="2"/>
      <c r="O50" s="5">
        <f>SUMIF($A$11:$A$40,$A50,O$11:O$40)</f>
        <v>153726844</v>
      </c>
      <c r="P50" s="2"/>
      <c r="Q50" s="5">
        <f>SUMIF($A$11:$A$40,$A50,Q$11:Q$40)</f>
        <v>1027339.498452</v>
      </c>
    </row>
    <row r="51" spans="1:17" hidden="1" outlineLevel="1" x14ac:dyDescent="0.35">
      <c r="A51" s="2" t="s">
        <v>0</v>
      </c>
      <c r="C51" s="2" t="s">
        <v>0</v>
      </c>
      <c r="D51" s="5">
        <f t="shared" si="0"/>
        <v>2</v>
      </c>
      <c r="E51" s="5">
        <f t="shared" si="0"/>
        <v>6575000</v>
      </c>
      <c r="F51" s="5"/>
      <c r="G51" s="5">
        <f>SUMIF($A$11:$A$40,$A51,G$11:G$40)</f>
        <v>74913</v>
      </c>
      <c r="H51" s="2"/>
      <c r="I51" s="5">
        <f t="shared" si="1"/>
        <v>2</v>
      </c>
      <c r="J51" s="5">
        <f t="shared" si="1"/>
        <v>6575000</v>
      </c>
      <c r="K51" s="2"/>
      <c r="L51" s="5">
        <f>SUMIF($A$11:$A$40,$A51,L$11:L$40)</f>
        <v>74913</v>
      </c>
      <c r="M51" s="2"/>
      <c r="N51" s="2"/>
      <c r="O51" s="5">
        <f>SUMIF($A$11:$A$40,$A51,O$11:O$40)</f>
        <v>6575000</v>
      </c>
      <c r="P51" s="2"/>
      <c r="Q51" s="5">
        <f>SUMIF($A$11:$A$40,$A51,Q$11:Q$40)</f>
        <v>74913</v>
      </c>
    </row>
    <row r="52" spans="1:17" hidden="1" outlineLevel="1" x14ac:dyDescent="0.3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idden="1" outlineLevel="1" x14ac:dyDescent="0.35">
      <c r="C53" s="2"/>
      <c r="D53" s="3">
        <f>SUM(D47:D52)</f>
        <v>79143</v>
      </c>
      <c r="E53" s="3">
        <f>SUM(E47:E52)</f>
        <v>66761772392</v>
      </c>
      <c r="F53" s="4"/>
      <c r="G53" s="3">
        <f>SUM(G47:G52)</f>
        <v>126508342.49845199</v>
      </c>
      <c r="H53" s="4"/>
      <c r="I53" s="3">
        <f>SUM(I47:I52)</f>
        <v>79143</v>
      </c>
      <c r="J53" s="3">
        <f>SUM(J47:J52)</f>
        <v>66761772392</v>
      </c>
      <c r="K53" s="4"/>
      <c r="L53" s="3">
        <f>SUM(L47:L52)</f>
        <v>126508342.49845199</v>
      </c>
      <c r="M53" s="4"/>
      <c r="N53" s="4"/>
      <c r="O53" s="3">
        <f>SUM(O47:O52)</f>
        <v>66761772392</v>
      </c>
      <c r="P53" s="4"/>
      <c r="Q53" s="3">
        <f>SUM(Q47:Q52)</f>
        <v>126508342.49845199</v>
      </c>
    </row>
    <row r="54" spans="1:17" collapsed="1" x14ac:dyDescent="0.35"/>
  </sheetData>
  <mergeCells count="16">
    <mergeCell ref="N7:Q7"/>
    <mergeCell ref="N8:Q8"/>
    <mergeCell ref="D7:G7"/>
    <mergeCell ref="D8:G8"/>
    <mergeCell ref="D5:G5"/>
    <mergeCell ref="I5:L5"/>
    <mergeCell ref="I6:L6"/>
    <mergeCell ref="I7:L7"/>
    <mergeCell ref="I8:L8"/>
    <mergeCell ref="D4:G4"/>
    <mergeCell ref="I4:L4"/>
    <mergeCell ref="N4:Q4"/>
    <mergeCell ref="C2:Q2"/>
    <mergeCell ref="D6:G6"/>
    <mergeCell ref="N5:Q5"/>
    <mergeCell ref="N6:Q6"/>
  </mergeCells>
  <pageMargins left="0.15748031496062992" right="0.15748031496062992" top="0.56000000000000005" bottom="0.35433070866141736" header="0.15748031496062992" footer="0.15748031496062992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18DE-165C-473F-82C4-CB486C31B059}">
  <sheetPr>
    <tabColor rgb="FF92D050"/>
    <pageSetUpPr fitToPage="1"/>
  </sheetPr>
  <dimension ref="A1:Z54"/>
  <sheetViews>
    <sheetView showGridLines="0" topLeftCell="B1" zoomScaleNormal="100" workbookViewId="0">
      <selection activeCell="D61" sqref="D61"/>
    </sheetView>
  </sheetViews>
  <sheetFormatPr defaultColWidth="8.6328125" defaultRowHeight="10" outlineLevelRow="1" outlineLevelCol="1" x14ac:dyDescent="0.35"/>
  <cols>
    <col min="1" max="1" width="6.453125" style="2" hidden="1" customWidth="1" outlineLevel="1"/>
    <col min="2" max="2" width="4.81640625" style="2" customWidth="1" collapsed="1"/>
    <col min="3" max="3" width="27.453125" style="1" customWidth="1"/>
    <col min="4" max="4" width="8" style="1" customWidth="1" outlineLevel="1"/>
    <col min="5" max="5" width="12" style="1" customWidth="1" outlineLevel="1"/>
    <col min="6" max="6" width="9.6328125" style="1" customWidth="1" outlineLevel="1"/>
    <col min="7" max="7" width="9.81640625" style="1" customWidth="1" outlineLevel="1"/>
    <col min="8" max="8" width="1.81640625" style="1" customWidth="1"/>
    <col min="9" max="9" width="8" style="1" customWidth="1" outlineLevel="1"/>
    <col min="10" max="10" width="12" style="1" customWidth="1" outlineLevel="1"/>
    <col min="11" max="11" width="9.6328125" style="1" customWidth="1" outlineLevel="1"/>
    <col min="12" max="12" width="9.81640625" style="1" customWidth="1" outlineLevel="1"/>
    <col min="13" max="13" width="1.81640625" style="1" customWidth="1"/>
    <col min="14" max="14" width="8" style="1" customWidth="1" outlineLevel="1"/>
    <col min="15" max="15" width="12" style="1" customWidth="1" outlineLevel="1"/>
    <col min="16" max="16" width="9.6328125" style="1" customWidth="1" outlineLevel="1"/>
    <col min="17" max="17" width="9.81640625" style="1" customWidth="1" outlineLevel="1"/>
    <col min="18" max="18" width="5.6328125" style="36" customWidth="1"/>
    <col min="19" max="19" width="10.08984375" style="36" bestFit="1" customWidth="1"/>
    <col min="20" max="16384" width="8.6328125" style="36"/>
  </cols>
  <sheetData>
    <row r="1" spans="1:18" ht="10.5" thickBot="1" x14ac:dyDescent="0.4"/>
    <row r="2" spans="1:18" ht="15" customHeight="1" thickBot="1" x14ac:dyDescent="0.4">
      <c r="C2" s="47" t="s">
        <v>50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8" ht="10.5" x14ac:dyDescent="0.35">
      <c r="C3" s="41"/>
    </row>
    <row r="4" spans="1:18" ht="10.5" x14ac:dyDescent="0.35">
      <c r="C4" s="23"/>
      <c r="D4" s="44" t="s">
        <v>44</v>
      </c>
      <c r="E4" s="44"/>
      <c r="F4" s="44"/>
      <c r="G4" s="45"/>
      <c r="I4" s="46" t="s">
        <v>45</v>
      </c>
      <c r="J4" s="44"/>
      <c r="K4" s="44"/>
      <c r="L4" s="45"/>
      <c r="N4" s="46" t="s">
        <v>46</v>
      </c>
      <c r="O4" s="44"/>
      <c r="P4" s="44"/>
      <c r="Q4" s="45"/>
    </row>
    <row r="5" spans="1:18" ht="10.5" x14ac:dyDescent="0.35">
      <c r="C5" s="25"/>
      <c r="D5" s="55" t="s">
        <v>38</v>
      </c>
      <c r="E5" s="55"/>
      <c r="F5" s="55"/>
      <c r="G5" s="56"/>
      <c r="I5" s="57" t="s">
        <v>38</v>
      </c>
      <c r="J5" s="55"/>
      <c r="K5" s="55"/>
      <c r="L5" s="56"/>
      <c r="N5" s="57" t="s">
        <v>38</v>
      </c>
      <c r="O5" s="55"/>
      <c r="P5" s="55"/>
      <c r="Q5" s="56"/>
    </row>
    <row r="6" spans="1:18" ht="10.5" x14ac:dyDescent="0.35">
      <c r="C6" s="25" t="s">
        <v>51</v>
      </c>
      <c r="D6" s="50" t="s">
        <v>37</v>
      </c>
      <c r="E6" s="51"/>
      <c r="F6" s="51"/>
      <c r="G6" s="52"/>
      <c r="I6" s="58" t="s">
        <v>36</v>
      </c>
      <c r="J6" s="51"/>
      <c r="K6" s="51"/>
      <c r="L6" s="52"/>
      <c r="N6" s="58" t="s">
        <v>35</v>
      </c>
      <c r="O6" s="51"/>
      <c r="P6" s="51"/>
      <c r="Q6" s="52"/>
    </row>
    <row r="7" spans="1:18" ht="10.5" x14ac:dyDescent="0.35">
      <c r="C7" s="22"/>
      <c r="D7" s="50" t="s">
        <v>34</v>
      </c>
      <c r="E7" s="51"/>
      <c r="F7" s="51"/>
      <c r="G7" s="52"/>
      <c r="I7" s="58" t="s">
        <v>34</v>
      </c>
      <c r="J7" s="51"/>
      <c r="K7" s="51"/>
      <c r="L7" s="52"/>
      <c r="N7" s="58" t="s">
        <v>34</v>
      </c>
      <c r="O7" s="51"/>
      <c r="P7" s="51"/>
      <c r="Q7" s="52"/>
    </row>
    <row r="8" spans="1:18" ht="10.5" x14ac:dyDescent="0.35">
      <c r="C8" s="20"/>
      <c r="D8" s="53" t="s">
        <v>33</v>
      </c>
      <c r="E8" s="53"/>
      <c r="F8" s="53"/>
      <c r="G8" s="54"/>
      <c r="I8" s="59" t="s">
        <v>32</v>
      </c>
      <c r="J8" s="53"/>
      <c r="K8" s="53"/>
      <c r="L8" s="54"/>
      <c r="N8" s="59" t="s">
        <v>31</v>
      </c>
      <c r="O8" s="53"/>
      <c r="P8" s="53"/>
      <c r="Q8" s="54"/>
    </row>
    <row r="9" spans="1:18" ht="10.75" customHeight="1" x14ac:dyDescent="0.35">
      <c r="C9" s="43"/>
      <c r="G9" s="21"/>
      <c r="L9" s="21"/>
      <c r="Q9" s="21"/>
    </row>
    <row r="10" spans="1:18" ht="21" x14ac:dyDescent="0.35">
      <c r="C10" s="12" t="s">
        <v>30</v>
      </c>
      <c r="D10" s="17" t="s">
        <v>19</v>
      </c>
      <c r="E10" s="17" t="s">
        <v>18</v>
      </c>
      <c r="F10" s="17" t="s">
        <v>17</v>
      </c>
      <c r="G10" s="17" t="s">
        <v>16</v>
      </c>
      <c r="H10" s="8"/>
      <c r="I10" s="17" t="s">
        <v>19</v>
      </c>
      <c r="J10" s="17" t="s">
        <v>18</v>
      </c>
      <c r="K10" s="17" t="s">
        <v>17</v>
      </c>
      <c r="L10" s="17" t="s">
        <v>16</v>
      </c>
      <c r="M10" s="8"/>
      <c r="N10" s="17" t="s">
        <v>19</v>
      </c>
      <c r="O10" s="17" t="s">
        <v>18</v>
      </c>
      <c r="P10" s="17" t="s">
        <v>17</v>
      </c>
      <c r="Q10" s="17" t="s">
        <v>16</v>
      </c>
    </row>
    <row r="11" spans="1:18" x14ac:dyDescent="0.35">
      <c r="A11" s="26" t="s">
        <v>4</v>
      </c>
      <c r="B11" s="27"/>
      <c r="C11" s="28" t="s">
        <v>15</v>
      </c>
      <c r="D11" s="29">
        <f>16316-D12</f>
        <v>7568</v>
      </c>
      <c r="E11" s="29">
        <f>12203396752-E12</f>
        <v>9578315234</v>
      </c>
      <c r="F11" s="30">
        <v>1.268E-3</v>
      </c>
      <c r="G11" s="29">
        <v>12146535</v>
      </c>
      <c r="H11" s="31"/>
      <c r="I11" s="29">
        <f>16316-I12</f>
        <v>8012</v>
      </c>
      <c r="J11" s="29">
        <f>12203396752-J12</f>
        <v>9840076691</v>
      </c>
      <c r="K11" s="30">
        <v>1.639E-3</v>
      </c>
      <c r="L11" s="29">
        <v>16128597</v>
      </c>
      <c r="M11" s="31"/>
      <c r="N11" s="29">
        <f>16316-N12</f>
        <v>8078</v>
      </c>
      <c r="O11" s="29">
        <f>12203396752-O12</f>
        <v>9873546033</v>
      </c>
      <c r="P11" s="30">
        <v>1.6980000000000001E-3</v>
      </c>
      <c r="Q11" s="29">
        <v>16763235</v>
      </c>
      <c r="R11" s="37"/>
    </row>
    <row r="12" spans="1:18" x14ac:dyDescent="0.35">
      <c r="A12" s="2" t="s">
        <v>4</v>
      </c>
      <c r="C12" s="16" t="s">
        <v>14</v>
      </c>
      <c r="D12" s="13">
        <v>8748</v>
      </c>
      <c r="E12" s="13">
        <v>2625081518</v>
      </c>
      <c r="F12" s="14">
        <v>850</v>
      </c>
      <c r="G12" s="13">
        <v>7432766</v>
      </c>
      <c r="H12" s="8"/>
      <c r="I12" s="29">
        <v>8304</v>
      </c>
      <c r="J12" s="29">
        <v>2363320061</v>
      </c>
      <c r="K12" s="30">
        <v>850</v>
      </c>
      <c r="L12" s="29">
        <v>7058400</v>
      </c>
      <c r="M12" s="31"/>
      <c r="N12" s="13">
        <v>8238</v>
      </c>
      <c r="O12" s="13">
        <v>2329850719</v>
      </c>
      <c r="P12" s="14">
        <v>850</v>
      </c>
      <c r="Q12" s="13">
        <v>7002300</v>
      </c>
    </row>
    <row r="13" spans="1:18" x14ac:dyDescent="0.35">
      <c r="A13" s="27" t="s">
        <v>3</v>
      </c>
      <c r="B13" s="27"/>
      <c r="C13" s="28" t="s">
        <v>13</v>
      </c>
      <c r="D13" s="30">
        <f>833-D14</f>
        <v>674</v>
      </c>
      <c r="E13" s="29">
        <f>1289703293-E14</f>
        <v>1275911248</v>
      </c>
      <c r="F13" s="32">
        <v>4.0899999999999999E-3</v>
      </c>
      <c r="G13" s="29">
        <v>5218671</v>
      </c>
      <c r="H13" s="31"/>
      <c r="I13" s="30">
        <f>833-I14</f>
        <v>667</v>
      </c>
      <c r="J13" s="29">
        <f>1289703293-J14</f>
        <v>1274452006</v>
      </c>
      <c r="K13" s="30">
        <v>3.8560000000000001E-3</v>
      </c>
      <c r="L13" s="29">
        <v>4913967</v>
      </c>
      <c r="M13" s="31"/>
      <c r="N13" s="30">
        <f>833-N14</f>
        <v>667</v>
      </c>
      <c r="O13" s="29">
        <f>1289703293-O14</f>
        <v>1274452006</v>
      </c>
      <c r="P13" s="30">
        <v>3.8539999999999998E-3</v>
      </c>
      <c r="Q13" s="29">
        <v>4911936</v>
      </c>
    </row>
    <row r="14" spans="1:18" x14ac:dyDescent="0.35">
      <c r="A14" s="27" t="s">
        <v>3</v>
      </c>
      <c r="B14" s="27"/>
      <c r="C14" s="28" t="s">
        <v>29</v>
      </c>
      <c r="D14" s="30">
        <v>159</v>
      </c>
      <c r="E14" s="29">
        <v>13792045</v>
      </c>
      <c r="F14" s="30">
        <v>820</v>
      </c>
      <c r="G14" s="29">
        <v>130380</v>
      </c>
      <c r="H14" s="31"/>
      <c r="I14" s="30">
        <v>166</v>
      </c>
      <c r="J14" s="29">
        <v>15251287</v>
      </c>
      <c r="K14" s="30">
        <v>820</v>
      </c>
      <c r="L14" s="29">
        <v>136120</v>
      </c>
      <c r="M14" s="31"/>
      <c r="N14" s="30">
        <v>166</v>
      </c>
      <c r="O14" s="29">
        <v>15251287</v>
      </c>
      <c r="P14" s="30">
        <v>820</v>
      </c>
      <c r="Q14" s="29">
        <v>136120</v>
      </c>
    </row>
    <row r="15" spans="1:18" x14ac:dyDescent="0.35">
      <c r="A15" s="27" t="s">
        <v>1</v>
      </c>
      <c r="B15" s="27"/>
      <c r="C15" s="28" t="s">
        <v>28</v>
      </c>
      <c r="D15" s="30">
        <v>1</v>
      </c>
      <c r="E15" s="29">
        <v>51026844</v>
      </c>
      <c r="F15" s="30">
        <v>1.0245000000000001E-2</v>
      </c>
      <c r="G15" s="29">
        <v>522750</v>
      </c>
      <c r="H15" s="31"/>
      <c r="I15" s="30">
        <v>1</v>
      </c>
      <c r="J15" s="29">
        <v>51026844</v>
      </c>
      <c r="K15" s="30">
        <v>1.0245000000000001E-2</v>
      </c>
      <c r="L15" s="29">
        <v>522750</v>
      </c>
      <c r="M15" s="31"/>
      <c r="N15" s="30">
        <v>1</v>
      </c>
      <c r="O15" s="29">
        <v>51026844</v>
      </c>
      <c r="P15" s="30">
        <v>1.0245000000000001E-2</v>
      </c>
      <c r="Q15" s="29">
        <v>522750</v>
      </c>
    </row>
    <row r="16" spans="1:18" ht="10.5" x14ac:dyDescent="0.35">
      <c r="A16" s="27"/>
      <c r="B16" s="27"/>
      <c r="C16" s="39"/>
      <c r="D16" s="33"/>
      <c r="E16" s="33"/>
      <c r="F16" s="34"/>
      <c r="G16" s="33"/>
      <c r="H16" s="31"/>
      <c r="I16" s="33"/>
      <c r="J16" s="33"/>
      <c r="K16" s="34"/>
      <c r="L16" s="33"/>
      <c r="M16" s="31"/>
      <c r="N16" s="33"/>
      <c r="O16" s="33"/>
      <c r="P16" s="34"/>
      <c r="Q16" s="33"/>
    </row>
    <row r="17" spans="1:26" ht="10.5" x14ac:dyDescent="0.35">
      <c r="A17" s="27"/>
      <c r="B17" s="27"/>
      <c r="C17" s="39" t="str">
        <f>"TOTAL - "&amp;C10</f>
        <v>TOTAL - Ashfield</v>
      </c>
      <c r="D17" s="33">
        <f>SUM(D11:D16)</f>
        <v>17150</v>
      </c>
      <c r="E17" s="33">
        <f>SUM(E11:E16)</f>
        <v>13544126889</v>
      </c>
      <c r="F17" s="34"/>
      <c r="G17" s="33">
        <f>SUM(G11:G16)</f>
        <v>25451102</v>
      </c>
      <c r="H17" s="31"/>
      <c r="I17" s="33">
        <f>SUM(I11:I16)</f>
        <v>17150</v>
      </c>
      <c r="J17" s="33">
        <f>SUM(J11:J16)</f>
        <v>13544126889</v>
      </c>
      <c r="K17" s="34"/>
      <c r="L17" s="33">
        <f>SUM(L11:L16)</f>
        <v>28759834</v>
      </c>
      <c r="M17" s="31"/>
      <c r="N17" s="33">
        <f>SUM(N11:N16)</f>
        <v>17150</v>
      </c>
      <c r="O17" s="33">
        <f>SUM(O11:O16)</f>
        <v>13544126889</v>
      </c>
      <c r="P17" s="34"/>
      <c r="Q17" s="33">
        <f>SUM(Q11:Q16)</f>
        <v>29336341</v>
      </c>
    </row>
    <row r="18" spans="1:26" x14ac:dyDescent="0.35">
      <c r="A18" s="27"/>
      <c r="B18" s="27"/>
      <c r="C18" s="3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26" ht="21" x14ac:dyDescent="0.35">
      <c r="A19" s="27"/>
      <c r="B19" s="27"/>
      <c r="C19" s="39" t="s">
        <v>27</v>
      </c>
      <c r="D19" s="35" t="s">
        <v>19</v>
      </c>
      <c r="E19" s="35" t="s">
        <v>18</v>
      </c>
      <c r="F19" s="35" t="s">
        <v>17</v>
      </c>
      <c r="G19" s="35" t="s">
        <v>16</v>
      </c>
      <c r="H19" s="31"/>
      <c r="I19" s="35" t="s">
        <v>19</v>
      </c>
      <c r="J19" s="35" t="s">
        <v>18</v>
      </c>
      <c r="K19" s="35" t="s">
        <v>17</v>
      </c>
      <c r="L19" s="35" t="s">
        <v>16</v>
      </c>
      <c r="M19" s="31"/>
      <c r="N19" s="35" t="s">
        <v>19</v>
      </c>
      <c r="O19" s="35" t="s">
        <v>18</v>
      </c>
      <c r="P19" s="35" t="s">
        <v>17</v>
      </c>
      <c r="Q19" s="35" t="s">
        <v>16</v>
      </c>
    </row>
    <row r="20" spans="1:26" x14ac:dyDescent="0.35">
      <c r="A20" s="27" t="s">
        <v>4</v>
      </c>
      <c r="B20" s="27"/>
      <c r="C20" s="28" t="s">
        <v>15</v>
      </c>
      <c r="D20" s="29">
        <f>23646-D21</f>
        <v>15832</v>
      </c>
      <c r="E20" s="29">
        <f>22794818344-E21</f>
        <v>20281939618</v>
      </c>
      <c r="F20" s="30">
        <v>1.268E-3</v>
      </c>
      <c r="G20" s="29">
        <v>25720106</v>
      </c>
      <c r="H20" s="31"/>
      <c r="I20" s="29">
        <f>23646-I21</f>
        <v>16001</v>
      </c>
      <c r="J20" s="29">
        <f>22794818344-J21</f>
        <v>20393084632</v>
      </c>
      <c r="K20" s="30">
        <v>1.3090000000000001E-3</v>
      </c>
      <c r="L20" s="29">
        <v>26694414</v>
      </c>
      <c r="M20" s="31"/>
      <c r="N20" s="29">
        <f>23646-N21</f>
        <v>16013</v>
      </c>
      <c r="O20" s="29">
        <f>22794818344-O21</f>
        <v>20400853912</v>
      </c>
      <c r="P20" s="30">
        <v>1.3159999999999999E-3</v>
      </c>
      <c r="Q20" s="29">
        <v>26854087</v>
      </c>
    </row>
    <row r="21" spans="1:26" x14ac:dyDescent="0.35">
      <c r="A21" s="27" t="s">
        <v>4</v>
      </c>
      <c r="B21" s="27"/>
      <c r="C21" s="28" t="s">
        <v>14</v>
      </c>
      <c r="D21" s="29">
        <v>7814</v>
      </c>
      <c r="E21" s="29">
        <v>2512878726</v>
      </c>
      <c r="F21" s="30">
        <v>850</v>
      </c>
      <c r="G21" s="29">
        <v>6628521</v>
      </c>
      <c r="H21" s="31"/>
      <c r="I21" s="29">
        <v>7645</v>
      </c>
      <c r="J21" s="29">
        <v>2401733712</v>
      </c>
      <c r="K21" s="30">
        <v>850</v>
      </c>
      <c r="L21" s="29">
        <v>6484871</v>
      </c>
      <c r="M21" s="31"/>
      <c r="N21" s="29">
        <v>7633</v>
      </c>
      <c r="O21" s="29">
        <v>2393964432</v>
      </c>
      <c r="P21" s="30">
        <v>850</v>
      </c>
      <c r="Q21" s="29">
        <v>6474671</v>
      </c>
    </row>
    <row r="22" spans="1:26" x14ac:dyDescent="0.35">
      <c r="A22" s="27"/>
      <c r="B22" s="27"/>
      <c r="C22" s="28" t="s">
        <v>26</v>
      </c>
      <c r="D22" s="30" t="s">
        <v>25</v>
      </c>
      <c r="E22" s="29" t="s">
        <v>25</v>
      </c>
      <c r="F22" s="30" t="s">
        <v>25</v>
      </c>
      <c r="G22" s="29">
        <v>0</v>
      </c>
      <c r="H22" s="31"/>
      <c r="I22" s="30" t="s">
        <v>25</v>
      </c>
      <c r="J22" s="29" t="s">
        <v>25</v>
      </c>
      <c r="K22" s="29" t="s">
        <v>25</v>
      </c>
      <c r="L22" s="29">
        <v>0</v>
      </c>
      <c r="M22" s="31"/>
      <c r="N22" s="30" t="s">
        <v>25</v>
      </c>
      <c r="O22" s="29" t="s">
        <v>25</v>
      </c>
      <c r="P22" s="29" t="s">
        <v>25</v>
      </c>
      <c r="Q22" s="29">
        <v>0</v>
      </c>
    </row>
    <row r="23" spans="1:26" x14ac:dyDescent="0.35">
      <c r="A23" s="27" t="s">
        <v>3</v>
      </c>
      <c r="B23" s="27"/>
      <c r="C23" s="28" t="s">
        <v>24</v>
      </c>
      <c r="D23" s="29">
        <f>1693-D24</f>
        <v>1445</v>
      </c>
      <c r="E23" s="29">
        <f>2336534443-E24</f>
        <v>2311901827</v>
      </c>
      <c r="F23" s="32">
        <v>4.0899999999999999E-3</v>
      </c>
      <c r="G23" s="29">
        <v>9456031</v>
      </c>
      <c r="H23" s="31"/>
      <c r="I23" s="29">
        <f>1693-I24</f>
        <v>1499</v>
      </c>
      <c r="J23" s="29">
        <f>2336534443-J24</f>
        <v>2321594517</v>
      </c>
      <c r="K23" s="30">
        <v>5.0390000000000001E-3</v>
      </c>
      <c r="L23" s="29">
        <v>11698087</v>
      </c>
      <c r="M23" s="31"/>
      <c r="N23" s="29">
        <f>1693-N24</f>
        <v>1500</v>
      </c>
      <c r="O23" s="29">
        <f>2336534443-O24</f>
        <v>2321753877</v>
      </c>
      <c r="P23" s="30">
        <v>5.2300000000000003E-3</v>
      </c>
      <c r="Q23" s="29">
        <v>12141832</v>
      </c>
    </row>
    <row r="24" spans="1:26" x14ac:dyDescent="0.35">
      <c r="A24" s="27" t="s">
        <v>3</v>
      </c>
      <c r="B24" s="27"/>
      <c r="C24" s="28" t="s">
        <v>23</v>
      </c>
      <c r="D24" s="29">
        <v>248</v>
      </c>
      <c r="E24" s="29">
        <v>24632616</v>
      </c>
      <c r="F24" s="30">
        <v>820</v>
      </c>
      <c r="G24" s="29">
        <v>203360</v>
      </c>
      <c r="H24" s="31"/>
      <c r="I24" s="29">
        <v>194</v>
      </c>
      <c r="J24" s="29">
        <v>14939926</v>
      </c>
      <c r="K24" s="30">
        <v>820</v>
      </c>
      <c r="L24" s="29">
        <v>159080</v>
      </c>
      <c r="M24" s="31"/>
      <c r="N24" s="29">
        <v>193</v>
      </c>
      <c r="O24" s="29">
        <v>14780566</v>
      </c>
      <c r="P24" s="30">
        <v>820</v>
      </c>
      <c r="Q24" s="29">
        <v>158260</v>
      </c>
    </row>
    <row r="25" spans="1:26" x14ac:dyDescent="0.35">
      <c r="A25" s="27" t="s">
        <v>1</v>
      </c>
      <c r="B25" s="27"/>
      <c r="C25" s="28" t="s">
        <v>22</v>
      </c>
      <c r="D25" s="30">
        <v>1</v>
      </c>
      <c r="E25" s="29">
        <v>34700000</v>
      </c>
      <c r="F25" s="30">
        <v>1.0245000000000001E-2</v>
      </c>
      <c r="G25" s="29">
        <f>355501-13</f>
        <v>355488</v>
      </c>
      <c r="H25" s="31"/>
      <c r="I25" s="30">
        <v>1</v>
      </c>
      <c r="J25" s="29">
        <v>34700000</v>
      </c>
      <c r="K25" s="30">
        <v>1.0245000000000001E-2</v>
      </c>
      <c r="L25" s="29">
        <v>355488</v>
      </c>
      <c r="M25" s="31"/>
      <c r="N25" s="30">
        <v>1</v>
      </c>
      <c r="O25" s="29">
        <v>34700000</v>
      </c>
      <c r="P25" s="30">
        <v>1.0245000000000001E-2</v>
      </c>
      <c r="Q25" s="29">
        <v>355488</v>
      </c>
    </row>
    <row r="26" spans="1:26" x14ac:dyDescent="0.35">
      <c r="A26" s="27" t="s">
        <v>1</v>
      </c>
      <c r="B26" s="27"/>
      <c r="C26" s="28" t="s">
        <v>21</v>
      </c>
      <c r="D26" s="30">
        <v>1</v>
      </c>
      <c r="E26" s="29">
        <v>32800000</v>
      </c>
      <c r="F26" s="30">
        <v>1.0245000000000001E-2</v>
      </c>
      <c r="G26" s="29">
        <f>336036-13</f>
        <v>336023</v>
      </c>
      <c r="H26" s="31"/>
      <c r="I26" s="30">
        <v>1</v>
      </c>
      <c r="J26" s="29">
        <v>32800000</v>
      </c>
      <c r="K26" s="30">
        <v>1.0245000000000001E-2</v>
      </c>
      <c r="L26" s="29">
        <v>336023</v>
      </c>
      <c r="M26" s="31"/>
      <c r="N26" s="30">
        <v>1</v>
      </c>
      <c r="O26" s="29">
        <v>32800000</v>
      </c>
      <c r="P26" s="30">
        <v>1.0245000000000001E-2</v>
      </c>
      <c r="Q26" s="29">
        <v>336023</v>
      </c>
    </row>
    <row r="27" spans="1:26" ht="13" x14ac:dyDescent="0.35">
      <c r="A27" s="27"/>
      <c r="B27" s="27"/>
      <c r="C27" s="39" t="str">
        <f>"TOTAL - "&amp;C19</f>
        <v>TOTAL - Leichhardt</v>
      </c>
      <c r="D27" s="33">
        <f>SUM(D20:D26)</f>
        <v>25341</v>
      </c>
      <c r="E27" s="33">
        <f>SUM(E20:E26)</f>
        <v>25198852787</v>
      </c>
      <c r="F27" s="34"/>
      <c r="G27" s="33">
        <f>SUM(G20:G26)</f>
        <v>42699529</v>
      </c>
      <c r="H27" s="31"/>
      <c r="I27" s="33">
        <f>SUM(I20:I26)</f>
        <v>25341</v>
      </c>
      <c r="J27" s="33">
        <f>SUM(J20:J26)</f>
        <v>25198852787</v>
      </c>
      <c r="K27" s="34"/>
      <c r="L27" s="33">
        <f>SUM(L20:L26)</f>
        <v>45727963</v>
      </c>
      <c r="M27" s="31"/>
      <c r="N27" s="33">
        <f>SUM(N20:N26)</f>
        <v>25341</v>
      </c>
      <c r="O27" s="33">
        <f>SUM(O20:O26)</f>
        <v>25198852787</v>
      </c>
      <c r="P27" s="34"/>
      <c r="Q27" s="33">
        <f>SUM(Q20:Q26)</f>
        <v>46320361</v>
      </c>
      <c r="Y27" s="38"/>
      <c r="Z27" s="38"/>
    </row>
    <row r="28" spans="1:26" x14ac:dyDescent="0.35">
      <c r="A28" s="27"/>
      <c r="B28" s="27"/>
      <c r="C28" s="3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6" ht="21" x14ac:dyDescent="0.35">
      <c r="A29" s="27"/>
      <c r="B29" s="27"/>
      <c r="C29" s="39" t="s">
        <v>20</v>
      </c>
      <c r="D29" s="35" t="s">
        <v>19</v>
      </c>
      <c r="E29" s="35" t="s">
        <v>18</v>
      </c>
      <c r="F29" s="35" t="s">
        <v>17</v>
      </c>
      <c r="G29" s="35" t="s">
        <v>16</v>
      </c>
      <c r="H29" s="31"/>
      <c r="I29" s="35" t="s">
        <v>19</v>
      </c>
      <c r="J29" s="35" t="s">
        <v>18</v>
      </c>
      <c r="K29" s="35" t="s">
        <v>17</v>
      </c>
      <c r="L29" s="35" t="s">
        <v>16</v>
      </c>
      <c r="M29" s="31"/>
      <c r="N29" s="35" t="s">
        <v>19</v>
      </c>
      <c r="O29" s="35" t="s">
        <v>18</v>
      </c>
      <c r="P29" s="35" t="s">
        <v>17</v>
      </c>
      <c r="Q29" s="35" t="s">
        <v>16</v>
      </c>
    </row>
    <row r="30" spans="1:26" x14ac:dyDescent="0.35">
      <c r="A30" s="27" t="s">
        <v>4</v>
      </c>
      <c r="B30" s="27"/>
      <c r="C30" s="28" t="s">
        <v>15</v>
      </c>
      <c r="D30" s="29">
        <f>33451-D31</f>
        <v>18466</v>
      </c>
      <c r="E30" s="29">
        <f>23758511905-E31</f>
        <v>19424557578</v>
      </c>
      <c r="F30" s="30">
        <v>1.268E-3</v>
      </c>
      <c r="G30" s="29">
        <v>24632835</v>
      </c>
      <c r="H30" s="31"/>
      <c r="I30" s="29">
        <f>33451-I31</f>
        <v>13536</v>
      </c>
      <c r="J30" s="29">
        <f>23758511905-J31</f>
        <v>15696991173</v>
      </c>
      <c r="K30" s="30">
        <v>1.0200000000000001E-3</v>
      </c>
      <c r="L30" s="29">
        <v>16006606</v>
      </c>
      <c r="M30" s="31"/>
      <c r="N30" s="29">
        <f>33451-N31</f>
        <v>11955</v>
      </c>
      <c r="O30" s="29">
        <f>23758511905-O31</f>
        <v>14348213187</v>
      </c>
      <c r="P30" s="30">
        <v>9.7099999999999997E-4</v>
      </c>
      <c r="Q30" s="29">
        <v>13937865</v>
      </c>
      <c r="R30" s="37"/>
    </row>
    <row r="31" spans="1:26" x14ac:dyDescent="0.35">
      <c r="A31" s="27" t="s">
        <v>4</v>
      </c>
      <c r="B31" s="27"/>
      <c r="C31" s="28" t="s">
        <v>14</v>
      </c>
      <c r="D31" s="29">
        <v>14985</v>
      </c>
      <c r="E31" s="29">
        <v>4333954327</v>
      </c>
      <c r="F31" s="30">
        <v>850</v>
      </c>
      <c r="G31" s="29">
        <v>12737250</v>
      </c>
      <c r="H31" s="31"/>
      <c r="I31" s="29">
        <v>19915</v>
      </c>
      <c r="J31" s="29">
        <v>8061520732</v>
      </c>
      <c r="K31" s="30">
        <v>850</v>
      </c>
      <c r="L31" s="29">
        <v>16925124</v>
      </c>
      <c r="M31" s="31"/>
      <c r="N31" s="29">
        <v>21496</v>
      </c>
      <c r="O31" s="29">
        <v>9410298718</v>
      </c>
      <c r="P31" s="30">
        <v>850</v>
      </c>
      <c r="Q31" s="29">
        <v>18265854</v>
      </c>
    </row>
    <row r="32" spans="1:26" x14ac:dyDescent="0.35">
      <c r="A32" s="27" t="s">
        <v>3</v>
      </c>
      <c r="B32" s="27"/>
      <c r="C32" s="28" t="s">
        <v>13</v>
      </c>
      <c r="D32" s="29">
        <f>1922-D33</f>
        <v>1673</v>
      </c>
      <c r="E32" s="29">
        <f>2352912505-E33</f>
        <v>2328311586</v>
      </c>
      <c r="F32" s="32">
        <v>4.0899999999999999E-3</v>
      </c>
      <c r="G32" s="29">
        <v>9523149</v>
      </c>
      <c r="H32" s="31"/>
      <c r="I32" s="29">
        <f>1922-I33</f>
        <v>1608</v>
      </c>
      <c r="J32" s="29">
        <f>2352912505-J33</f>
        <v>2313903201</v>
      </c>
      <c r="K32" s="30">
        <v>3.2720000000000002E-3</v>
      </c>
      <c r="L32" s="29">
        <v>7571038</v>
      </c>
      <c r="M32" s="31"/>
      <c r="N32" s="29">
        <f>1922-N33</f>
        <v>1601</v>
      </c>
      <c r="O32" s="29">
        <f>2352912505-O33</f>
        <v>2312114731</v>
      </c>
      <c r="P32" s="30">
        <v>3.081E-3</v>
      </c>
      <c r="Q32" s="29">
        <v>7124404</v>
      </c>
    </row>
    <row r="33" spans="1:17" x14ac:dyDescent="0.35">
      <c r="A33" s="27" t="s">
        <v>3</v>
      </c>
      <c r="B33" s="27"/>
      <c r="C33" s="40" t="s">
        <v>12</v>
      </c>
      <c r="D33" s="29">
        <v>249</v>
      </c>
      <c r="E33" s="29">
        <v>24600919</v>
      </c>
      <c r="F33" s="30">
        <v>820</v>
      </c>
      <c r="G33" s="29">
        <v>204180</v>
      </c>
      <c r="H33" s="31"/>
      <c r="I33" s="29">
        <v>314</v>
      </c>
      <c r="J33" s="29">
        <v>39009304</v>
      </c>
      <c r="K33" s="30">
        <v>820</v>
      </c>
      <c r="L33" s="29">
        <v>257480</v>
      </c>
      <c r="M33" s="31"/>
      <c r="N33" s="29">
        <v>321</v>
      </c>
      <c r="O33" s="29">
        <v>40797774</v>
      </c>
      <c r="P33" s="30">
        <v>820</v>
      </c>
      <c r="Q33" s="29">
        <v>263220</v>
      </c>
    </row>
    <row r="34" spans="1:17" x14ac:dyDescent="0.35">
      <c r="A34" s="27" t="s">
        <v>2</v>
      </c>
      <c r="B34" s="27"/>
      <c r="C34" s="28" t="s">
        <v>11</v>
      </c>
      <c r="D34" s="29">
        <v>961</v>
      </c>
      <c r="E34" s="29">
        <v>1271979046</v>
      </c>
      <c r="F34" s="30">
        <v>5.8019999999999999E-3</v>
      </c>
      <c r="G34" s="29">
        <v>7380432</v>
      </c>
      <c r="H34" s="31"/>
      <c r="I34" s="29">
        <v>961</v>
      </c>
      <c r="J34" s="29">
        <v>1271979046</v>
      </c>
      <c r="K34" s="30">
        <v>5.8019999999999999E-3</v>
      </c>
      <c r="L34" s="29">
        <v>7380432</v>
      </c>
      <c r="M34" s="31"/>
      <c r="N34" s="29">
        <v>961</v>
      </c>
      <c r="O34" s="29">
        <v>1271979046</v>
      </c>
      <c r="P34" s="30">
        <v>5.8019999999999999E-3</v>
      </c>
      <c r="Q34" s="29">
        <v>7380432</v>
      </c>
    </row>
    <row r="35" spans="1:17" x14ac:dyDescent="0.35">
      <c r="A35" s="27" t="s">
        <v>2</v>
      </c>
      <c r="B35" s="27"/>
      <c r="C35" s="28" t="s">
        <v>10</v>
      </c>
      <c r="D35" s="29">
        <v>149</v>
      </c>
      <c r="E35" s="29">
        <v>391247110</v>
      </c>
      <c r="F35" s="30">
        <v>5.8019999999999999E-3</v>
      </c>
      <c r="G35" s="29">
        <v>2270142</v>
      </c>
      <c r="H35" s="31"/>
      <c r="I35" s="29">
        <v>149</v>
      </c>
      <c r="J35" s="29">
        <v>391247110</v>
      </c>
      <c r="K35" s="30">
        <v>5.8019999999999999E-3</v>
      </c>
      <c r="L35" s="29">
        <v>2270142</v>
      </c>
      <c r="M35" s="31"/>
      <c r="N35" s="29">
        <v>149</v>
      </c>
      <c r="O35" s="29">
        <v>391247110</v>
      </c>
      <c r="P35" s="30">
        <v>5.8019999999999999E-3</v>
      </c>
      <c r="Q35" s="29">
        <v>2270142</v>
      </c>
    </row>
    <row r="36" spans="1:17" x14ac:dyDescent="0.35">
      <c r="A36" s="27" t="s">
        <v>2</v>
      </c>
      <c r="B36" s="27"/>
      <c r="C36" s="28" t="s">
        <v>9</v>
      </c>
      <c r="D36" s="29">
        <v>84</v>
      </c>
      <c r="E36" s="29">
        <v>124126310</v>
      </c>
      <c r="F36" s="30">
        <v>5.8019999999999999E-3</v>
      </c>
      <c r="G36" s="29">
        <v>720221</v>
      </c>
      <c r="H36" s="31"/>
      <c r="I36" s="29">
        <v>84</v>
      </c>
      <c r="J36" s="29">
        <v>124126310</v>
      </c>
      <c r="K36" s="30">
        <v>5.8019999999999999E-3</v>
      </c>
      <c r="L36" s="29">
        <v>720221</v>
      </c>
      <c r="M36" s="31"/>
      <c r="N36" s="29">
        <v>84</v>
      </c>
      <c r="O36" s="29">
        <v>124126310</v>
      </c>
      <c r="P36" s="30">
        <v>5.8019999999999999E-3</v>
      </c>
      <c r="Q36" s="29">
        <v>720221</v>
      </c>
    </row>
    <row r="37" spans="1:17" x14ac:dyDescent="0.35">
      <c r="A37" s="27" t="s">
        <v>2</v>
      </c>
      <c r="B37" s="27"/>
      <c r="C37" s="28" t="s">
        <v>8</v>
      </c>
      <c r="D37" s="29">
        <v>82</v>
      </c>
      <c r="E37" s="29">
        <v>78240840</v>
      </c>
      <c r="F37" s="30">
        <v>5.8019999999999999E-3</v>
      </c>
      <c r="G37" s="29">
        <v>453979</v>
      </c>
      <c r="H37" s="31"/>
      <c r="I37" s="29">
        <v>82</v>
      </c>
      <c r="J37" s="29">
        <v>78240840</v>
      </c>
      <c r="K37" s="30">
        <v>5.8019999999999999E-3</v>
      </c>
      <c r="L37" s="29">
        <v>453979</v>
      </c>
      <c r="M37" s="31"/>
      <c r="N37" s="29">
        <v>82</v>
      </c>
      <c r="O37" s="29">
        <v>78240840</v>
      </c>
      <c r="P37" s="30">
        <v>5.8019999999999999E-3</v>
      </c>
      <c r="Q37" s="29">
        <v>453979</v>
      </c>
    </row>
    <row r="38" spans="1:17" x14ac:dyDescent="0.35">
      <c r="A38" s="27" t="s">
        <v>1</v>
      </c>
      <c r="B38" s="27"/>
      <c r="C38" s="28" t="s">
        <v>7</v>
      </c>
      <c r="D38" s="30">
        <v>1</v>
      </c>
      <c r="E38" s="29">
        <v>35200000</v>
      </c>
      <c r="F38" s="30">
        <v>1.0245000000000001E-2</v>
      </c>
      <c r="G38" s="29">
        <v>360610</v>
      </c>
      <c r="H38" s="31"/>
      <c r="I38" s="30">
        <v>1</v>
      </c>
      <c r="J38" s="29">
        <v>35200000</v>
      </c>
      <c r="K38" s="30">
        <v>1.0245000000000001E-2</v>
      </c>
      <c r="L38" s="29">
        <v>360610</v>
      </c>
      <c r="M38" s="31"/>
      <c r="N38" s="30">
        <v>1</v>
      </c>
      <c r="O38" s="29">
        <v>35200000</v>
      </c>
      <c r="P38" s="30">
        <v>1.0245000000000001E-2</v>
      </c>
      <c r="Q38" s="29">
        <v>360610</v>
      </c>
    </row>
    <row r="39" spans="1:17" x14ac:dyDescent="0.35">
      <c r="A39" s="2" t="s">
        <v>0</v>
      </c>
      <c r="C39" s="15" t="s">
        <v>6</v>
      </c>
      <c r="D39" s="14">
        <v>2</v>
      </c>
      <c r="E39" s="13">
        <v>6575000</v>
      </c>
      <c r="F39" s="14">
        <v>1.1394E-2</v>
      </c>
      <c r="G39" s="13">
        <v>74913</v>
      </c>
      <c r="H39" s="31"/>
      <c r="I39" s="14">
        <v>2</v>
      </c>
      <c r="J39" s="13">
        <v>6575000</v>
      </c>
      <c r="K39" s="14">
        <v>1.1394E-2</v>
      </c>
      <c r="L39" s="29">
        <v>74913</v>
      </c>
      <c r="M39" s="31"/>
      <c r="N39" s="14">
        <v>2</v>
      </c>
      <c r="O39" s="13">
        <v>6575000</v>
      </c>
      <c r="P39" s="14">
        <v>1.1394E-2</v>
      </c>
      <c r="Q39" s="13">
        <v>74913</v>
      </c>
    </row>
    <row r="40" spans="1:17" ht="10.5" x14ac:dyDescent="0.35">
      <c r="C40" s="12" t="str">
        <f>"TOTAL - "&amp;C29</f>
        <v>TOTAL - Marrickville</v>
      </c>
      <c r="D40" s="10">
        <f>SUM(D30:D39)</f>
        <v>36652</v>
      </c>
      <c r="E40" s="10">
        <f>SUM(E30:E39)</f>
        <v>28018792716</v>
      </c>
      <c r="F40" s="11"/>
      <c r="G40" s="10">
        <f>SUM(G30:G39)</f>
        <v>58357711</v>
      </c>
      <c r="H40" s="8"/>
      <c r="I40" s="10">
        <f>SUM(I30:I39)</f>
        <v>36652</v>
      </c>
      <c r="J40" s="10">
        <f>SUM(J30:J39)</f>
        <v>28018792716</v>
      </c>
      <c r="K40" s="11"/>
      <c r="L40" s="33">
        <f>SUM(L30:L39)</f>
        <v>52020545</v>
      </c>
      <c r="M40" s="31"/>
      <c r="N40" s="10">
        <f>SUM(N30:N39)</f>
        <v>36652</v>
      </c>
      <c r="O40" s="10">
        <f>SUM(O30:O39)</f>
        <v>28018792716</v>
      </c>
      <c r="P40" s="11"/>
      <c r="Q40" s="10">
        <f>SUM(Q30:Q39)</f>
        <v>50851640</v>
      </c>
    </row>
    <row r="41" spans="1:17" x14ac:dyDescent="0.35">
      <c r="D41" s="8"/>
      <c r="E41" s="8"/>
      <c r="F41" s="8"/>
      <c r="G41" s="8"/>
      <c r="H41" s="8"/>
      <c r="I41" s="8"/>
      <c r="J41" s="8"/>
      <c r="K41" s="8"/>
      <c r="L41" s="31"/>
      <c r="M41" s="31"/>
      <c r="N41" s="8"/>
      <c r="O41" s="8"/>
      <c r="P41" s="8"/>
      <c r="Q41" s="8"/>
    </row>
    <row r="42" spans="1:17" ht="10.5" x14ac:dyDescent="0.35">
      <c r="C42" s="12" t="s">
        <v>43</v>
      </c>
      <c r="D42" s="10">
        <f>SUM(D17,D27,D40)</f>
        <v>79143</v>
      </c>
      <c r="E42" s="10">
        <f>SUM(E17,E27,E40)</f>
        <v>66761772392</v>
      </c>
      <c r="F42" s="14"/>
      <c r="G42" s="10">
        <f>SUM(G17,G27,G40)</f>
        <v>126508342</v>
      </c>
      <c r="H42" s="8"/>
      <c r="I42" s="10">
        <f>SUM(I17,I27,I40)</f>
        <v>79143</v>
      </c>
      <c r="J42" s="10">
        <f>SUM(J17,J27,J40)</f>
        <v>66761772392</v>
      </c>
      <c r="K42" s="14"/>
      <c r="L42" s="10">
        <f>SUM(L17,L27,L40)</f>
        <v>126508342</v>
      </c>
      <c r="M42" s="8"/>
      <c r="N42" s="10">
        <f>SUM(N17,N27,N40)</f>
        <v>79143</v>
      </c>
      <c r="O42" s="10">
        <f>SUM(O17,O27,O40)</f>
        <v>66761772392</v>
      </c>
      <c r="P42" s="14"/>
      <c r="Q42" s="10">
        <f>SUM(Q17,Q27,Q40)</f>
        <v>126508342</v>
      </c>
    </row>
    <row r="43" spans="1:17" ht="10.5" hidden="1" outlineLevel="1" x14ac:dyDescent="0.35">
      <c r="D43" s="9">
        <f>79143-D42</f>
        <v>0</v>
      </c>
      <c r="E43" s="9">
        <f>66761772392-E42</f>
        <v>0</v>
      </c>
      <c r="F43" s="8"/>
      <c r="G43" s="7">
        <f>ROUNDDOWN(126508342.498452-G42,0)</f>
        <v>0</v>
      </c>
      <c r="H43" s="8"/>
      <c r="I43" s="8"/>
      <c r="J43" s="9">
        <f>66761772392-J42</f>
        <v>0</v>
      </c>
      <c r="K43" s="8"/>
      <c r="L43" s="7">
        <f>ROUNDDOWN(126508342.498452-L42,0)</f>
        <v>0</v>
      </c>
      <c r="M43" s="8"/>
      <c r="N43" s="8"/>
      <c r="O43" s="9">
        <f>66761772392-O42</f>
        <v>0</v>
      </c>
      <c r="P43" s="8"/>
      <c r="Q43" s="7">
        <f>ROUNDDOWN(126508342.498452-Q42,0)</f>
        <v>0</v>
      </c>
    </row>
    <row r="44" spans="1:17" collapsed="1" x14ac:dyDescent="0.35">
      <c r="E44" s="6"/>
    </row>
    <row r="46" spans="1:17" hidden="1" outlineLevel="1" x14ac:dyDescent="0.35">
      <c r="A46" s="2" t="s">
        <v>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idden="1" outlineLevel="1" x14ac:dyDescent="0.35">
      <c r="A47" s="2" t="s">
        <v>4</v>
      </c>
      <c r="C47" s="2" t="s">
        <v>39</v>
      </c>
      <c r="D47" s="5">
        <f t="shared" ref="D47:E51" si="0">SUMIF($A$11:$A$40,$A47,D$11:D$40)</f>
        <v>73413</v>
      </c>
      <c r="E47" s="5">
        <f t="shared" si="0"/>
        <v>58756727001</v>
      </c>
      <c r="F47" s="5"/>
      <c r="G47" s="5">
        <f>SUMIF($A$11:$A$40,$A47,G$11:G$40)</f>
        <v>89298013</v>
      </c>
      <c r="H47" s="2"/>
      <c r="I47" s="5">
        <f t="shared" ref="I47:J51" si="1">SUMIF($A$11:$A$40,$A47,I$11:I$40)</f>
        <v>73413</v>
      </c>
      <c r="J47" s="5">
        <f t="shared" si="1"/>
        <v>58756727001</v>
      </c>
      <c r="K47" s="2"/>
      <c r="L47" s="5">
        <f>SUMIF($A$11:$A$40,$A47,L$11:L$40)</f>
        <v>89298012</v>
      </c>
      <c r="M47" s="2"/>
      <c r="N47" s="2"/>
      <c r="O47" s="5">
        <f>SUMIF($A$11:$A$40,$A47,O$11:O$40)</f>
        <v>58756727001</v>
      </c>
      <c r="P47" s="2"/>
      <c r="Q47" s="5">
        <f>SUMIF($A$11:$A$40,$A47,Q$11:Q$40)</f>
        <v>89298012</v>
      </c>
    </row>
    <row r="48" spans="1:17" hidden="1" outlineLevel="1" x14ac:dyDescent="0.35">
      <c r="A48" s="2" t="s">
        <v>3</v>
      </c>
      <c r="C48" s="2" t="s">
        <v>40</v>
      </c>
      <c r="D48" s="5">
        <f t="shared" si="0"/>
        <v>4448</v>
      </c>
      <c r="E48" s="5">
        <f t="shared" si="0"/>
        <v>5979150241</v>
      </c>
      <c r="F48" s="5"/>
      <c r="G48" s="5">
        <f>SUMIF($A$11:$A$40,$A48,G$11:G$40)</f>
        <v>24735771</v>
      </c>
      <c r="H48" s="2"/>
      <c r="I48" s="5">
        <f t="shared" si="1"/>
        <v>4448</v>
      </c>
      <c r="J48" s="5">
        <f t="shared" si="1"/>
        <v>5979150241</v>
      </c>
      <c r="K48" s="2"/>
      <c r="L48" s="5">
        <f>SUMIF($A$11:$A$40,$A48,L$11:L$40)</f>
        <v>24735772</v>
      </c>
      <c r="M48" s="2"/>
      <c r="N48" s="2"/>
      <c r="O48" s="5">
        <f>SUMIF($A$11:$A$40,$A48,O$11:O$40)</f>
        <v>5979150241</v>
      </c>
      <c r="P48" s="2"/>
      <c r="Q48" s="5">
        <f>SUMIF($A$11:$A$40,$A48,Q$11:Q$40)</f>
        <v>24735772</v>
      </c>
    </row>
    <row r="49" spans="1:17" hidden="1" outlineLevel="1" x14ac:dyDescent="0.35">
      <c r="A49" s="2" t="s">
        <v>2</v>
      </c>
      <c r="C49" s="2" t="s">
        <v>41</v>
      </c>
      <c r="D49" s="5">
        <f t="shared" si="0"/>
        <v>1276</v>
      </c>
      <c r="E49" s="5">
        <f t="shared" si="0"/>
        <v>1865593306</v>
      </c>
      <c r="F49" s="5"/>
      <c r="G49" s="5">
        <f>SUMIF($A$11:$A$40,$A49,G$11:G$40)</f>
        <v>10824774</v>
      </c>
      <c r="H49" s="2"/>
      <c r="I49" s="5">
        <f t="shared" si="1"/>
        <v>1276</v>
      </c>
      <c r="J49" s="5">
        <f t="shared" si="1"/>
        <v>1865593306</v>
      </c>
      <c r="K49" s="2"/>
      <c r="L49" s="5">
        <f>SUMIF($A$11:$A$40,$A49,L$11:L$40)</f>
        <v>10824774</v>
      </c>
      <c r="M49" s="2"/>
      <c r="N49" s="2"/>
      <c r="O49" s="5">
        <f>SUMIF($A$11:$A$40,$A49,O$11:O$40)</f>
        <v>1865593306</v>
      </c>
      <c r="P49" s="2"/>
      <c r="Q49" s="5">
        <f>SUMIF($A$11:$A$40,$A49,Q$11:Q$40)</f>
        <v>10824774</v>
      </c>
    </row>
    <row r="50" spans="1:17" hidden="1" outlineLevel="1" x14ac:dyDescent="0.35">
      <c r="A50" s="2" t="s">
        <v>1</v>
      </c>
      <c r="C50" s="2" t="s">
        <v>42</v>
      </c>
      <c r="D50" s="5">
        <f t="shared" si="0"/>
        <v>4</v>
      </c>
      <c r="E50" s="5">
        <f t="shared" si="0"/>
        <v>153726844</v>
      </c>
      <c r="F50" s="5"/>
      <c r="G50" s="5">
        <f>SUMIF($A$11:$A$40,$A50,G$11:G$40)</f>
        <v>1574871</v>
      </c>
      <c r="H50" s="2"/>
      <c r="I50" s="5">
        <f t="shared" si="1"/>
        <v>4</v>
      </c>
      <c r="J50" s="5">
        <f t="shared" si="1"/>
        <v>153726844</v>
      </c>
      <c r="K50" s="2"/>
      <c r="L50" s="5">
        <f>SUMIF($A$11:$A$40,$A50,L$11:L$40)</f>
        <v>1574871</v>
      </c>
      <c r="M50" s="2"/>
      <c r="N50" s="2"/>
      <c r="O50" s="5">
        <f>SUMIF($A$11:$A$40,$A50,O$11:O$40)</f>
        <v>153726844</v>
      </c>
      <c r="P50" s="2"/>
      <c r="Q50" s="5">
        <f>SUMIF($A$11:$A$40,$A50,Q$11:Q$40)</f>
        <v>1574871</v>
      </c>
    </row>
    <row r="51" spans="1:17" hidden="1" outlineLevel="1" x14ac:dyDescent="0.35">
      <c r="A51" s="2" t="s">
        <v>0</v>
      </c>
      <c r="C51" s="2" t="s">
        <v>0</v>
      </c>
      <c r="D51" s="5">
        <f t="shared" si="0"/>
        <v>2</v>
      </c>
      <c r="E51" s="5">
        <f t="shared" si="0"/>
        <v>6575000</v>
      </c>
      <c r="F51" s="5"/>
      <c r="G51" s="5">
        <f>SUMIF($A$11:$A$40,$A51,G$11:G$40)</f>
        <v>74913</v>
      </c>
      <c r="H51" s="2"/>
      <c r="I51" s="5">
        <f t="shared" si="1"/>
        <v>2</v>
      </c>
      <c r="J51" s="5">
        <f t="shared" si="1"/>
        <v>6575000</v>
      </c>
      <c r="K51" s="2"/>
      <c r="L51" s="5">
        <f>SUMIF($A$11:$A$40,$A51,L$11:L$40)</f>
        <v>74913</v>
      </c>
      <c r="M51" s="2"/>
      <c r="N51" s="2"/>
      <c r="O51" s="5">
        <f>SUMIF($A$11:$A$40,$A51,O$11:O$40)</f>
        <v>6575000</v>
      </c>
      <c r="P51" s="2"/>
      <c r="Q51" s="5">
        <f>SUMIF($A$11:$A$40,$A51,Q$11:Q$40)</f>
        <v>74913</v>
      </c>
    </row>
    <row r="52" spans="1:17" hidden="1" outlineLevel="1" x14ac:dyDescent="0.3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idden="1" outlineLevel="1" x14ac:dyDescent="0.35">
      <c r="C53" s="2"/>
      <c r="D53" s="3">
        <f>SUM(D47:D52)</f>
        <v>79143</v>
      </c>
      <c r="E53" s="3">
        <f>SUM(E47:E52)</f>
        <v>66761772392</v>
      </c>
      <c r="F53" s="4"/>
      <c r="G53" s="3">
        <f>SUM(G47:G52)</f>
        <v>126508342</v>
      </c>
      <c r="H53" s="4"/>
      <c r="I53" s="3">
        <f>SUM(I47:I52)</f>
        <v>79143</v>
      </c>
      <c r="J53" s="3">
        <f>SUM(J47:J52)</f>
        <v>66761772392</v>
      </c>
      <c r="K53" s="4"/>
      <c r="L53" s="3">
        <f>SUM(L47:L52)</f>
        <v>126508342</v>
      </c>
      <c r="M53" s="4"/>
      <c r="N53" s="4"/>
      <c r="O53" s="3">
        <f>SUM(O47:O52)</f>
        <v>66761772392</v>
      </c>
      <c r="P53" s="4"/>
      <c r="Q53" s="3">
        <f>SUM(Q47:Q52)</f>
        <v>126508342</v>
      </c>
    </row>
    <row r="54" spans="1:17" collapsed="1" x14ac:dyDescent="0.35"/>
  </sheetData>
  <mergeCells count="16">
    <mergeCell ref="D8:G8"/>
    <mergeCell ref="I8:L8"/>
    <mergeCell ref="N8:Q8"/>
    <mergeCell ref="D5:G5"/>
    <mergeCell ref="I5:L5"/>
    <mergeCell ref="N5:Q5"/>
    <mergeCell ref="D6:G6"/>
    <mergeCell ref="I6:L6"/>
    <mergeCell ref="N6:Q6"/>
    <mergeCell ref="D4:G4"/>
    <mergeCell ref="I4:L4"/>
    <mergeCell ref="N4:Q4"/>
    <mergeCell ref="C2:Q2"/>
    <mergeCell ref="D7:G7"/>
    <mergeCell ref="I7:L7"/>
    <mergeCell ref="N7:Q7"/>
  </mergeCells>
  <pageMargins left="0.15748031496062992" right="0.15748031496062992" top="0.56000000000000005" bottom="0.35433070866141736" header="0.15748031496062992" footer="0.1574803149606299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Scenarios 1 - 3</vt:lpstr>
      <vt:lpstr>Scenarios 4 - 5</vt:lpstr>
      <vt:lpstr>'Scenarios 1 - 3'!Print_Area</vt:lpstr>
      <vt:lpstr>'Scenarios 4 - 5'!Print_Area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Brendhan Barry</dc:creator>
  <cp:lastModifiedBy>Renata Krchnakova</cp:lastModifiedBy>
  <cp:lastPrinted>2021-05-21T06:44:42Z</cp:lastPrinted>
  <dcterms:created xsi:type="dcterms:W3CDTF">2021-05-21T06:29:26Z</dcterms:created>
  <dcterms:modified xsi:type="dcterms:W3CDTF">2021-05-26T23:40:57Z</dcterms:modified>
</cp:coreProperties>
</file>